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5"/>
  </bookViews>
  <sheets>
    <sheet name="REV" sheetId="1" r:id="rId1"/>
    <sheet name="EXP" sheetId="2" r:id="rId2"/>
    <sheet name="CAP" sheetId="3" r:id="rId3"/>
    <sheet name="SDBIP" sheetId="4" r:id="rId4"/>
    <sheet name="ROLL" sheetId="5" r:id="rId5"/>
    <sheet name="INV" sheetId="6" r:id="rId6"/>
    <sheet name="Don_t print this page_ Peter" sheetId="7" r:id="rId7"/>
  </sheets>
  <externalReferences>
    <externalReference r:id="rId10"/>
  </externalReferences>
  <definedNames>
    <definedName name="_xlnm.Print_Area" localSheetId="2">'CAP'!$A$1:$E$36</definedName>
    <definedName name="_xlnm.Print_Area" localSheetId="5">'INV'!$A$1:$J$37</definedName>
    <definedName name="_xlnm.Print_Area" localSheetId="3">'SDBIP'!$A$1:$BY$42</definedName>
  </definedNames>
  <calcPr fullCalcOnLoad="1"/>
</workbook>
</file>

<file path=xl/sharedStrings.xml><?xml version="1.0" encoding="utf-8"?>
<sst xmlns="http://schemas.openxmlformats.org/spreadsheetml/2006/main" count="713" uniqueCount="287">
  <si>
    <t>ANNEXURE A</t>
  </si>
  <si>
    <t>Actual revenue per revenue source</t>
  </si>
  <si>
    <t>REVENUE SOURCE</t>
  </si>
  <si>
    <t>BUDGETED REVENUE</t>
  </si>
  <si>
    <t>YTD ACTUAL REVENUE</t>
  </si>
  <si>
    <t>%     ACTUAL REVENUE</t>
  </si>
  <si>
    <t>VARIANCE</t>
  </si>
  <si>
    <t>REASON FOR VARIANCE</t>
  </si>
  <si>
    <t xml:space="preserve"> </t>
  </si>
  <si>
    <t>(E)</t>
  </si>
  <si>
    <t>(F)</t>
  </si>
  <si>
    <t>(E-F)</t>
  </si>
  <si>
    <t>GRANTS</t>
  </si>
  <si>
    <t>Equitable Share</t>
  </si>
  <si>
    <t>MSIG Grant</t>
  </si>
  <si>
    <t>Refer to exp 1</t>
  </si>
  <si>
    <t>Municipal Finance Grant</t>
  </si>
  <si>
    <t>Refer to exp 2</t>
  </si>
  <si>
    <t>Municipal Health Grant</t>
  </si>
  <si>
    <t>Refer to exp 3</t>
  </si>
  <si>
    <t>OWN REVENUE</t>
  </si>
  <si>
    <t>Interest - Current Account</t>
  </si>
  <si>
    <t>Interest - External Investment</t>
  </si>
  <si>
    <t>Refer to exp 4</t>
  </si>
  <si>
    <t>Abbatoir - Income</t>
  </si>
  <si>
    <t>Fire Fighting</t>
  </si>
  <si>
    <t>Other income</t>
  </si>
  <si>
    <t>Refer to exp 5</t>
  </si>
  <si>
    <t>TOTAL INCOME</t>
  </si>
  <si>
    <t>ANNEXURE B</t>
  </si>
  <si>
    <t>Actual expenditure per vote (department)</t>
  </si>
  <si>
    <t>DEPARTMENTS</t>
  </si>
  <si>
    <t>OPERATING BUDGET  EXP</t>
  </si>
  <si>
    <t>ACTUAL OPERATING   EXP</t>
  </si>
  <si>
    <t>BASELINE</t>
  </si>
  <si>
    <t>% OF ACTUAL EXP SPENT</t>
  </si>
  <si>
    <t>(E -F)</t>
  </si>
  <si>
    <t>Budget &amp; Treasury Office</t>
  </si>
  <si>
    <t>Salary and Allowances</t>
  </si>
  <si>
    <t>General Expenditure</t>
  </si>
  <si>
    <t>Repairs and Maintenance</t>
  </si>
  <si>
    <t>Capital Outlay</t>
  </si>
  <si>
    <t>Contributions to Funds</t>
  </si>
  <si>
    <t>Office of the Municipal Manager</t>
  </si>
  <si>
    <t>Corporate Support &amp; Shared Services</t>
  </si>
  <si>
    <t>Planning and Economic Development</t>
  </si>
  <si>
    <t>General Expenses</t>
  </si>
  <si>
    <t>Infrastructure Development</t>
  </si>
  <si>
    <t>Office of the Executive Mayor</t>
  </si>
  <si>
    <t>Councillors Salaries</t>
  </si>
  <si>
    <t>Social Development &amp; Community Services</t>
  </si>
  <si>
    <t>Bela Bela</t>
  </si>
  <si>
    <t>Lephalale</t>
  </si>
  <si>
    <t>Modimolle</t>
  </si>
  <si>
    <t>Mogalakwena</t>
  </si>
  <si>
    <t>Mookgophong</t>
  </si>
  <si>
    <t>Thabazimbi</t>
  </si>
  <si>
    <t>Municipal Environmental Health</t>
  </si>
  <si>
    <t>Abattoir</t>
  </si>
  <si>
    <t>TOTAL EXPENDITURE</t>
  </si>
  <si>
    <t>ANNEXURE C</t>
  </si>
  <si>
    <t>Actual Capital Expenditure</t>
  </si>
  <si>
    <t>IDP PRIORITY</t>
  </si>
  <si>
    <t>DESCRIPTION</t>
  </si>
  <si>
    <t>BUDGET</t>
  </si>
  <si>
    <t>YTD ACTUAL EXPEND</t>
  </si>
  <si>
    <t>% ACTUAL SPENT</t>
  </si>
  <si>
    <t>NO 2</t>
  </si>
  <si>
    <t>Roads and Stormwater</t>
  </si>
  <si>
    <t>NO 3</t>
  </si>
  <si>
    <t>Economic development</t>
  </si>
  <si>
    <t>NO 4</t>
  </si>
  <si>
    <t>Transport</t>
  </si>
  <si>
    <t>NO 5</t>
  </si>
  <si>
    <t>Land</t>
  </si>
  <si>
    <t>NO 6</t>
  </si>
  <si>
    <t xml:space="preserve"> Environmental Management</t>
  </si>
  <si>
    <t>NO 7</t>
  </si>
  <si>
    <t>Health and Social Development</t>
  </si>
  <si>
    <t>NO 8</t>
  </si>
  <si>
    <t>Disaster Management</t>
  </si>
  <si>
    <t>NO 9</t>
  </si>
  <si>
    <t>Community Participation And Communication</t>
  </si>
  <si>
    <t>NO 10</t>
  </si>
  <si>
    <t>Institutional Development</t>
  </si>
  <si>
    <t>NO 13</t>
  </si>
  <si>
    <t>Sports, Arts and Culture</t>
  </si>
  <si>
    <t>TOTAL</t>
  </si>
  <si>
    <t>ANNEXURE D</t>
  </si>
  <si>
    <t>Waterberg District Municipality - Monthly Projections of Expenditure by Vote and Revenue by Source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</si>
  <si>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</si>
  <si>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</si>
  <si>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</si>
  <si>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</si>
  <si>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</si>
  <si>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</si>
  <si>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</si>
  <si>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</si>
  <si>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</si>
  <si>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</si>
  <si>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</si>
  <si>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</si>
  <si>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Projection</t>
  </si>
  <si>
    <t>2008 / 2009</t>
  </si>
  <si>
    <t>Proj Opex</t>
  </si>
  <si>
    <t>Act Opex</t>
  </si>
  <si>
    <t>Proj IDP</t>
  </si>
  <si>
    <t>Act Capex</t>
  </si>
  <si>
    <t>Proj Rev</t>
  </si>
  <si>
    <t>Act Rev</t>
  </si>
  <si>
    <t>Opex</t>
  </si>
  <si>
    <t>IDP</t>
  </si>
  <si>
    <t>Rev</t>
  </si>
  <si>
    <t>Vote Nr</t>
  </si>
  <si>
    <t>Monthly Projections</t>
  </si>
  <si>
    <t xml:space="preserve">R </t>
  </si>
  <si>
    <t>R</t>
  </si>
  <si>
    <t>Expenditure and Revenue by Vote</t>
  </si>
  <si>
    <t>001</t>
  </si>
  <si>
    <t>Office of the Chief Financial Officer</t>
  </si>
  <si>
    <t>002</t>
  </si>
  <si>
    <t>003</t>
  </si>
  <si>
    <t>004</t>
  </si>
  <si>
    <t>005</t>
  </si>
  <si>
    <t>Technical Services</t>
  </si>
  <si>
    <t>006</t>
  </si>
  <si>
    <t>007</t>
  </si>
  <si>
    <t>008</t>
  </si>
  <si>
    <t>009</t>
  </si>
  <si>
    <t>Environmentatl Health</t>
  </si>
  <si>
    <t>020</t>
  </si>
  <si>
    <t>Total By Vote (Balanced to Cash Flow)</t>
  </si>
  <si>
    <t>Loss</t>
  </si>
  <si>
    <t>Depreciation</t>
  </si>
  <si>
    <t>Bad debts</t>
  </si>
  <si>
    <t>Cash flow</t>
  </si>
  <si>
    <t>Revenue by Source</t>
  </si>
  <si>
    <t>Total</t>
  </si>
  <si>
    <t>R 22m IDP is funded from opening balance cash</t>
  </si>
  <si>
    <t>investment. Equittable share of R 67m fully covers</t>
  </si>
  <si>
    <t>Proj Capex</t>
  </si>
  <si>
    <t>Capex</t>
  </si>
  <si>
    <t>Operating expenditure.</t>
  </si>
  <si>
    <t>Service charges - Abattoir</t>
  </si>
  <si>
    <t>Interest on Investments</t>
  </si>
  <si>
    <t>Interest on Outstanding debts - Abattoir</t>
  </si>
  <si>
    <t>Interest on Outstanding debts - RSC Levies</t>
  </si>
  <si>
    <t>Fire Fighting income</t>
  </si>
  <si>
    <t>Equitable Shares</t>
  </si>
  <si>
    <t>FMG</t>
  </si>
  <si>
    <t>MSIG</t>
  </si>
  <si>
    <t>Environmental Health Grant</t>
  </si>
  <si>
    <t>LG SETA</t>
  </si>
  <si>
    <t>Insurance Claims</t>
  </si>
  <si>
    <t>Total Revenue by Source (Balanced to Cash Flow)</t>
  </si>
  <si>
    <t>ANNEXURE E</t>
  </si>
  <si>
    <t>Actual Capital Expenditure Roll Over</t>
  </si>
  <si>
    <t>SPENT</t>
  </si>
  <si>
    <t>UNSPENT    30 JUNE 2008</t>
  </si>
  <si>
    <t>Solid waste and environment</t>
  </si>
  <si>
    <t>Community Participation</t>
  </si>
  <si>
    <t xml:space="preserve">Sports,Arts and Culture </t>
  </si>
  <si>
    <t>Water ,sanitation and drought relief</t>
  </si>
  <si>
    <t>ANNEXURE F</t>
  </si>
  <si>
    <t>BANK</t>
  </si>
  <si>
    <t>ACC NO</t>
  </si>
  <si>
    <t>TYPE OF INVEST</t>
  </si>
  <si>
    <t>DATE INVEST</t>
  </si>
  <si>
    <t>INTEREST RATES</t>
  </si>
  <si>
    <t>MATURITY DATE</t>
  </si>
  <si>
    <t>INTEREST EARNED</t>
  </si>
  <si>
    <t>COMMENTS</t>
  </si>
  <si>
    <t>ABSA</t>
  </si>
  <si>
    <t>32 Days</t>
  </si>
  <si>
    <t>60 Days</t>
  </si>
  <si>
    <t>Interest paid into current account.</t>
  </si>
  <si>
    <t>90 Days</t>
  </si>
  <si>
    <t>FNB</t>
  </si>
  <si>
    <t xml:space="preserve">Interest paid into current account. </t>
  </si>
  <si>
    <t>NEDBANK</t>
  </si>
  <si>
    <t>6 Months</t>
  </si>
  <si>
    <t>STANDARD</t>
  </si>
  <si>
    <t>358256</t>
  </si>
  <si>
    <t>Call</t>
  </si>
  <si>
    <t>INVESTEC</t>
  </si>
  <si>
    <t>140019808500</t>
  </si>
  <si>
    <t>140019808450</t>
  </si>
  <si>
    <t>1400198080450/DA840053</t>
  </si>
  <si>
    <t>PROJECT STATUS REPORT - ROLLED OVER PROJECTS</t>
  </si>
  <si>
    <t>PROJ NO</t>
  </si>
  <si>
    <t>PROJECT NAME</t>
  </si>
  <si>
    <t>PROJ YEAR</t>
  </si>
  <si>
    <t>BUDGETED AMOUNT</t>
  </si>
  <si>
    <t>PAID OUT AMOUNT</t>
  </si>
  <si>
    <t>UNSPENT           30 JUNE 2007</t>
  </si>
  <si>
    <t>SPENT   CURRENT F/Y</t>
  </si>
  <si>
    <t>REMAINING</t>
  </si>
  <si>
    <t>CMIP PROJECTS</t>
  </si>
  <si>
    <t>CM999</t>
  </si>
  <si>
    <t>CMIP/MIG UNSPENT</t>
  </si>
  <si>
    <t>Prior years</t>
  </si>
  <si>
    <t>WATER ,SANITATION AND DROUGHT RELIEF</t>
  </si>
  <si>
    <t>WS002</t>
  </si>
  <si>
    <t>DROUGHT RELIEF</t>
  </si>
  <si>
    <t>SA031</t>
  </si>
  <si>
    <t>NORTHAM SEWERX5 PHASE 2 &amp; EXT 7</t>
  </si>
  <si>
    <t>DISASTER MANAGEMENT</t>
  </si>
  <si>
    <t>DM001</t>
  </si>
  <si>
    <t>CONSTR MODIMOLLE DISASTER CENTRE</t>
  </si>
  <si>
    <t>DM002</t>
  </si>
  <si>
    <t>CONSTR LEPHA FIRE STATION,DISASTER CENTR</t>
  </si>
  <si>
    <t>ROADS AND STORMWATER</t>
  </si>
  <si>
    <t>RS033</t>
  </si>
  <si>
    <t>INTERGRATED INFRASTRUCTURE MASTER PLAN</t>
  </si>
  <si>
    <t>RS037</t>
  </si>
  <si>
    <t>CONSTRUCTION OF BRIDGE RUST DE WINTER EPWP</t>
  </si>
  <si>
    <t>SOLID WASTE AND ENVIROMENT</t>
  </si>
  <si>
    <t>SE006</t>
  </si>
  <si>
    <t>ID,AUDIT ADN MAINTAIN LANDFILL SITES</t>
  </si>
  <si>
    <t>SE009</t>
  </si>
  <si>
    <t>REFUSE BUY PACK CENTRE MOGALKWENA</t>
  </si>
  <si>
    <t>ECONOMIC DEVELOPMENT</t>
  </si>
  <si>
    <t>UE029</t>
  </si>
  <si>
    <t>UPGRADE AND MANAGEMENT OF ABATTOIR</t>
  </si>
  <si>
    <t>UE034</t>
  </si>
  <si>
    <t>FEASIBILITY STUDY OF WILDLIFE CENTRE</t>
  </si>
  <si>
    <t>UE037</t>
  </si>
  <si>
    <t>LEPHALALE AGRICULTURAL CORRIDOR</t>
  </si>
  <si>
    <t>UE038</t>
  </si>
  <si>
    <t>TOURISM DEVELOPMENT</t>
  </si>
  <si>
    <t>LAND</t>
  </si>
  <si>
    <t>LA004</t>
  </si>
  <si>
    <t>POLICIES ON LAND USE</t>
  </si>
  <si>
    <t>COMMUNITY PARTICIPATION AND COMMUNICATION</t>
  </si>
  <si>
    <t>CO009</t>
  </si>
  <si>
    <t>COMMUNICATION</t>
  </si>
  <si>
    <t>CO010</t>
  </si>
  <si>
    <t>SPECIAL PROJECTS</t>
  </si>
  <si>
    <t>CO011</t>
  </si>
  <si>
    <t>DISTRICT PUBLIC PARTICIPATION</t>
  </si>
  <si>
    <t>INSTITUTIONAL DEVELOPMENT</t>
  </si>
  <si>
    <t>IN017</t>
  </si>
  <si>
    <t>PROCUREMENT OF MOVABLE ASSETS</t>
  </si>
  <si>
    <t>IN019</t>
  </si>
  <si>
    <t>INSTITUTIONAL STUDY</t>
  </si>
  <si>
    <t>IN020</t>
  </si>
  <si>
    <t>MAYORAL HOUSE</t>
  </si>
  <si>
    <t>IN021</t>
  </si>
  <si>
    <t>COMPILE MASTER IT PLAN</t>
  </si>
  <si>
    <t>IN022</t>
  </si>
  <si>
    <t>TRAINING OF VOLUNTEER FIRE FIGHTING</t>
  </si>
  <si>
    <t>SPORTS,ARTS AND CULTURE</t>
  </si>
  <si>
    <t>SC007</t>
  </si>
  <si>
    <t>CO-ORDINATE ANNUAL ARTS AND CULTURAL ACTIVITIES</t>
  </si>
  <si>
    <t>AUGUST</t>
  </si>
  <si>
    <t xml:space="preserve">  </t>
  </si>
  <si>
    <t>Refer to exp 6</t>
  </si>
  <si>
    <t>PERFORMANCE AGAINST SDBIP</t>
  </si>
  <si>
    <t>Levies</t>
  </si>
  <si>
    <t>INVESTMENT PORTFOLIO – NOVEMBER 2008</t>
  </si>
  <si>
    <t>03/7497571214/000095</t>
  </si>
  <si>
    <t>03/7497571214/000098</t>
  </si>
  <si>
    <t>91 Days</t>
  </si>
  <si>
    <t>03/7497571214/000097</t>
  </si>
  <si>
    <t>1 July 2008 – 31 December 2008</t>
  </si>
  <si>
    <t>BUDGETED 06 MONTHS PROJECTIONS</t>
  </si>
  <si>
    <t>BALANCE              01 DEC 2008</t>
  </si>
  <si>
    <t>BALANCE             31 DEC 2008</t>
  </si>
  <si>
    <t>New investment</t>
  </si>
  <si>
    <t>03/7497571214/000099</t>
  </si>
  <si>
    <t>Interest paid into current account. Investment re-invested for 60 days @11.29%</t>
  </si>
  <si>
    <t>Interest paid into current account.Investment re-invested for 60 days @ 11.30%</t>
  </si>
  <si>
    <t>Interest paid into current account. Investment withdrawn and transferred to Nedbank</t>
  </si>
  <si>
    <t>Interest paid into current account.Investment re-invested for 60 days @ 11.54%</t>
  </si>
  <si>
    <t>1 July 2008 -  31 December 2008</t>
  </si>
  <si>
    <t>Refer to exp 7</t>
  </si>
  <si>
    <t>01 JULY TO 31 DECEMBER 2008</t>
  </si>
  <si>
    <t>Disaster Grant</t>
  </si>
  <si>
    <t>Refer to exp 8</t>
  </si>
  <si>
    <t>Refer to exp 9</t>
  </si>
  <si>
    <t>LG SETA Grant</t>
  </si>
  <si>
    <t>Refer to exp 10</t>
  </si>
  <si>
    <t>BUDGETED         06 MONTHS PROJECTIONS per SDBIP</t>
  </si>
  <si>
    <t>YTD SDBIP BASELINE</t>
  </si>
  <si>
    <t>IN026</t>
  </si>
  <si>
    <t>S78 HEALTH ASSESSMENT</t>
  </si>
  <si>
    <t>CMIP Projects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</si>
</sst>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\-??_);_(@_)"/>
    <numFmt numFmtId="165" formatCode="###\ ###\ ##0"/>
    <numFmt numFmtId="166" formatCode="#\ ##0"/>
    <numFmt numFmtId="167" formatCode="_ * #,##0.000_ ;_ * \-#,##0.000_ ;_ * \-?_ ;_ @_ "/>
    <numFmt numFmtId="168" formatCode="_ * #,##0_ ;_ * \-#,##0_ ;_ * \-?_ ;_ @_ "/>
    <numFmt numFmtId="169" formatCode="_ * #,##0.0_ ;_ * \-#,##0.0_ ;_ * \-?_ ;_ @_ "/>
    <numFmt numFmtId="170" formatCode="_(* #,##0_);_(* \(#,##0\);_(* \-??_);_(@_)"/>
    <numFmt numFmtId="171" formatCode="_ * ##\ ##0_ ;_ * \-#,##0_ ;_ * \-_ ;_ @_ "/>
    <numFmt numFmtId="172" formatCode="d\-mmm\-yy"/>
    <numFmt numFmtId="173" formatCode="###\ ###\ ##0.00"/>
    <numFmt numFmtId="174" formatCode=".\ #\ ##00"/>
    <numFmt numFmtId="175" formatCode="_ * #,##0_ ;_ * \-#,##0_ ;_ * \-??_ ;_ @_ "/>
    <numFmt numFmtId="176" formatCode="_(* #,##0.00_);_(* \(#,##0.00\);_(* &quot;-&quot;??_);_(@_)"/>
    <numFmt numFmtId="177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double">
        <color indexed="23"/>
      </left>
      <right/>
      <top style="double">
        <color indexed="23"/>
      </top>
      <bottom style="double">
        <color indexed="23"/>
      </bottom>
    </border>
    <border>
      <left/>
      <right/>
      <top style="double">
        <color indexed="23"/>
      </top>
      <bottom style="double">
        <color indexed="23"/>
      </bottom>
    </border>
    <border>
      <left/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Alignment="0" applyProtection="0"/>
    <xf numFmtId="0" fontId="14" fillId="15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165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165" fontId="23" fillId="0" borderId="10" xfId="0" applyNumberFormat="1" applyFont="1" applyBorder="1" applyAlignment="1">
      <alignment horizontal="right"/>
    </xf>
    <xf numFmtId="165" fontId="23" fillId="0" borderId="10" xfId="0" applyNumberFormat="1" applyFont="1" applyFill="1" applyBorder="1" applyAlignment="1">
      <alignment horizontal="right"/>
    </xf>
    <xf numFmtId="10" fontId="23" fillId="0" borderId="10" xfId="0" applyNumberFormat="1" applyFont="1" applyBorder="1" applyAlignment="1">
      <alignment horizontal="center"/>
    </xf>
    <xf numFmtId="165" fontId="23" fillId="0" borderId="10" xfId="0" applyNumberFormat="1" applyFont="1" applyBorder="1" applyAlignment="1">
      <alignment/>
    </xf>
    <xf numFmtId="165" fontId="23" fillId="0" borderId="10" xfId="0" applyNumberFormat="1" applyFont="1" applyFill="1" applyBorder="1" applyAlignment="1">
      <alignment/>
    </xf>
    <xf numFmtId="10" fontId="23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9" fontId="23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168" fontId="23" fillId="0" borderId="10" xfId="0" applyNumberFormat="1" applyFont="1" applyFill="1" applyBorder="1" applyAlignment="1">
      <alignment/>
    </xf>
    <xf numFmtId="10" fontId="23" fillId="0" borderId="10" xfId="0" applyNumberFormat="1" applyFont="1" applyFill="1" applyBorder="1" applyAlignment="1">
      <alignment horizontal="center"/>
    </xf>
    <xf numFmtId="165" fontId="25" fillId="0" borderId="10" xfId="0" applyNumberFormat="1" applyFont="1" applyFill="1" applyBorder="1" applyAlignment="1">
      <alignment/>
    </xf>
    <xf numFmtId="165" fontId="22" fillId="0" borderId="10" xfId="0" applyNumberFormat="1" applyFont="1" applyFill="1" applyBorder="1" applyAlignment="1">
      <alignment/>
    </xf>
    <xf numFmtId="10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3" fontId="2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3" fillId="0" borderId="12" xfId="0" applyFont="1" applyBorder="1" applyAlignment="1">
      <alignment/>
    </xf>
    <xf numFmtId="0" fontId="22" fillId="0" borderId="10" xfId="0" applyFont="1" applyBorder="1" applyAlignment="1">
      <alignment horizontal="center"/>
    </xf>
    <xf numFmtId="165" fontId="22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49" fontId="0" fillId="0" borderId="0" xfId="61" applyNumberFormat="1" applyBorder="1">
      <alignment/>
      <protection/>
    </xf>
    <xf numFmtId="0" fontId="0" fillId="0" borderId="0" xfId="61" applyBorder="1" applyAlignment="1">
      <alignment vertical="top" wrapText="1"/>
      <protection/>
    </xf>
    <xf numFmtId="0" fontId="0" fillId="0" borderId="0" xfId="61" applyBorder="1">
      <alignment/>
      <protection/>
    </xf>
    <xf numFmtId="0" fontId="0" fillId="0" borderId="0" xfId="61" applyFont="1" applyBorder="1">
      <alignment/>
      <protection/>
    </xf>
    <xf numFmtId="0" fontId="0" fillId="0" borderId="0" xfId="61" applyFill="1" applyBorder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61" applyFont="1" applyBorder="1" applyAlignment="1">
      <alignment horizontal="center"/>
      <protection/>
    </xf>
    <xf numFmtId="0" fontId="26" fillId="0" borderId="0" xfId="61" applyFont="1" applyBorder="1" applyAlignment="1">
      <alignment/>
      <protection/>
    </xf>
    <xf numFmtId="49" fontId="27" fillId="0" borderId="13" xfId="61" applyNumberFormat="1" applyFont="1" applyFill="1" applyBorder="1">
      <alignment/>
      <protection/>
    </xf>
    <xf numFmtId="0" fontId="28" fillId="0" borderId="13" xfId="61" applyFont="1" applyFill="1" applyBorder="1" applyAlignment="1">
      <alignment vertical="top" wrapText="1"/>
      <protection/>
    </xf>
    <xf numFmtId="3" fontId="28" fillId="0" borderId="13" xfId="61" applyNumberFormat="1" applyFont="1" applyFill="1" applyBorder="1">
      <alignment/>
      <protection/>
    </xf>
    <xf numFmtId="3" fontId="27" fillId="0" borderId="13" xfId="61" applyNumberFormat="1" applyFont="1" applyFill="1" applyBorder="1">
      <alignment/>
      <protection/>
    </xf>
    <xf numFmtId="0" fontId="27" fillId="0" borderId="13" xfId="61" applyFont="1" applyFill="1" applyBorder="1" applyAlignment="1">
      <alignment vertical="top" wrapText="1"/>
      <protection/>
    </xf>
    <xf numFmtId="3" fontId="27" fillId="0" borderId="13" xfId="61" applyNumberFormat="1" applyFont="1" applyFill="1" applyBorder="1" applyAlignment="1">
      <alignment horizontal="right"/>
      <protection/>
    </xf>
    <xf numFmtId="0" fontId="0" fillId="0" borderId="13" xfId="61" applyFill="1" applyBorder="1">
      <alignment/>
      <protection/>
    </xf>
    <xf numFmtId="49" fontId="30" fillId="0" borderId="13" xfId="61" applyNumberFormat="1" applyFont="1" applyFill="1" applyBorder="1">
      <alignment/>
      <protection/>
    </xf>
    <xf numFmtId="0" fontId="30" fillId="0" borderId="13" xfId="61" applyFont="1" applyFill="1" applyBorder="1" applyAlignment="1">
      <alignment vertical="top" wrapText="1"/>
      <protection/>
    </xf>
    <xf numFmtId="3" fontId="30" fillId="0" borderId="13" xfId="61" applyNumberFormat="1" applyFont="1" applyFill="1" applyBorder="1" applyAlignment="1">
      <alignment horizontal="right"/>
      <protection/>
    </xf>
    <xf numFmtId="3" fontId="26" fillId="0" borderId="13" xfId="61" applyNumberFormat="1" applyFont="1" applyFill="1" applyBorder="1" applyAlignment="1">
      <alignment horizontal="right"/>
      <protection/>
    </xf>
    <xf numFmtId="3" fontId="30" fillId="0" borderId="13" xfId="61" applyNumberFormat="1" applyFont="1" applyFill="1" applyBorder="1">
      <alignment/>
      <protection/>
    </xf>
    <xf numFmtId="0" fontId="30" fillId="0" borderId="0" xfId="61" applyFont="1" applyFill="1" applyBorder="1">
      <alignment/>
      <protection/>
    </xf>
    <xf numFmtId="0" fontId="30" fillId="0" borderId="0" xfId="61" applyFont="1" applyBorder="1">
      <alignment/>
      <protection/>
    </xf>
    <xf numFmtId="49" fontId="27" fillId="0" borderId="13" xfId="61" applyNumberFormat="1" applyFont="1" applyFill="1" applyBorder="1" applyAlignment="1">
      <alignment horizontal="center"/>
      <protection/>
    </xf>
    <xf numFmtId="0" fontId="0" fillId="0" borderId="0" xfId="61" applyBorder="1" applyAlignment="1">
      <alignment horizontal="center" vertical="top" wrapText="1"/>
      <protection/>
    </xf>
    <xf numFmtId="3" fontId="28" fillId="0" borderId="13" xfId="61" applyNumberFormat="1" applyFon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0" fontId="0" fillId="0" borderId="0" xfId="61" applyBorder="1" applyAlignment="1">
      <alignment horizontal="center"/>
      <protection/>
    </xf>
    <xf numFmtId="0" fontId="27" fillId="0" borderId="13" xfId="61" applyFont="1" applyFill="1" applyBorder="1">
      <alignment/>
      <protection/>
    </xf>
    <xf numFmtId="49" fontId="26" fillId="0" borderId="13" xfId="61" applyNumberFormat="1" applyFont="1" applyFill="1" applyBorder="1">
      <alignment/>
      <protection/>
    </xf>
    <xf numFmtId="0" fontId="26" fillId="0" borderId="13" xfId="61" applyFont="1" applyFill="1" applyBorder="1" applyAlignment="1">
      <alignment wrapText="1"/>
      <protection/>
    </xf>
    <xf numFmtId="3" fontId="26" fillId="0" borderId="13" xfId="61" applyNumberFormat="1" applyFont="1" applyFill="1" applyBorder="1">
      <alignment/>
      <protection/>
    </xf>
    <xf numFmtId="0" fontId="20" fillId="0" borderId="0" xfId="61" applyFont="1" applyFill="1" applyBorder="1">
      <alignment/>
      <protection/>
    </xf>
    <xf numFmtId="3" fontId="27" fillId="0" borderId="0" xfId="61" applyNumberFormat="1" applyFont="1" applyBorder="1" applyAlignment="1">
      <alignment horizontal="right"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/>
    </xf>
    <xf numFmtId="0" fontId="23" fillId="0" borderId="17" xfId="0" applyFont="1" applyBorder="1" applyAlignment="1">
      <alignment/>
    </xf>
    <xf numFmtId="165" fontId="34" fillId="0" borderId="14" xfId="0" applyNumberFormat="1" applyFont="1" applyBorder="1" applyAlignment="1">
      <alignment/>
    </xf>
    <xf numFmtId="0" fontId="23" fillId="0" borderId="15" xfId="0" applyFont="1" applyBorder="1" applyAlignment="1">
      <alignment/>
    </xf>
    <xf numFmtId="165" fontId="23" fillId="0" borderId="15" xfId="0" applyNumberFormat="1" applyFont="1" applyBorder="1" applyAlignment="1">
      <alignment/>
    </xf>
    <xf numFmtId="165" fontId="34" fillId="0" borderId="10" xfId="0" applyNumberFormat="1" applyFont="1" applyBorder="1" applyAlignment="1">
      <alignment/>
    </xf>
    <xf numFmtId="165" fontId="25" fillId="0" borderId="14" xfId="0" applyNumberFormat="1" applyFont="1" applyBorder="1" applyAlignment="1">
      <alignment/>
    </xf>
    <xf numFmtId="165" fontId="22" fillId="0" borderId="15" xfId="0" applyNumberFormat="1" applyFont="1" applyBorder="1" applyAlignment="1">
      <alignment/>
    </xf>
    <xf numFmtId="165" fontId="25" fillId="0" borderId="18" xfId="0" applyNumberFormat="1" applyFont="1" applyBorder="1" applyAlignment="1">
      <alignment/>
    </xf>
    <xf numFmtId="0" fontId="0" fillId="0" borderId="10" xfId="0" applyBorder="1" applyAlignment="1">
      <alignment/>
    </xf>
    <xf numFmtId="0" fontId="32" fillId="0" borderId="14" xfId="0" applyFont="1" applyBorder="1" applyAlignment="1">
      <alignment/>
    </xf>
    <xf numFmtId="0" fontId="0" fillId="0" borderId="15" xfId="0" applyBorder="1" applyAlignment="1">
      <alignment/>
    </xf>
    <xf numFmtId="165" fontId="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1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3" fontId="20" fillId="0" borderId="24" xfId="0" applyNumberFormat="1" applyFont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172" fontId="0" fillId="0" borderId="26" xfId="0" applyNumberFormat="1" applyFont="1" applyBorder="1" applyAlignment="1">
      <alignment horizontal="center"/>
    </xf>
    <xf numFmtId="10" fontId="0" fillId="0" borderId="26" xfId="0" applyNumberFormat="1" applyFont="1" applyBorder="1" applyAlignment="1">
      <alignment horizontal="center"/>
    </xf>
    <xf numFmtId="172" fontId="0" fillId="0" borderId="27" xfId="0" applyNumberFormat="1" applyFont="1" applyBorder="1" applyAlignment="1">
      <alignment horizontal="center"/>
    </xf>
    <xf numFmtId="165" fontId="0" fillId="0" borderId="28" xfId="0" applyNumberFormat="1" applyFont="1" applyBorder="1" applyAlignment="1">
      <alignment/>
    </xf>
    <xf numFmtId="173" fontId="0" fillId="0" borderId="25" xfId="0" applyNumberFormat="1" applyFont="1" applyBorder="1" applyAlignment="1">
      <alignment/>
    </xf>
    <xf numFmtId="165" fontId="0" fillId="0" borderId="28" xfId="0" applyNumberFormat="1" applyFont="1" applyBorder="1" applyAlignment="1">
      <alignment horizontal="right"/>
    </xf>
    <xf numFmtId="0" fontId="20" fillId="0" borderId="28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25" xfId="0" applyFont="1" applyBorder="1" applyAlignment="1">
      <alignment vertical="top"/>
    </xf>
    <xf numFmtId="0" fontId="20" fillId="0" borderId="28" xfId="0" applyFont="1" applyBorder="1" applyAlignment="1">
      <alignment horizontal="justify" wrapText="1"/>
    </xf>
    <xf numFmtId="0" fontId="0" fillId="0" borderId="25" xfId="0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172" fontId="0" fillId="0" borderId="27" xfId="0" applyNumberFormat="1" applyFont="1" applyBorder="1" applyAlignment="1">
      <alignment horizontal="center" vertical="top"/>
    </xf>
    <xf numFmtId="10" fontId="0" fillId="0" borderId="26" xfId="0" applyNumberFormat="1" applyFont="1" applyBorder="1" applyAlignment="1">
      <alignment horizontal="center" vertical="top"/>
    </xf>
    <xf numFmtId="165" fontId="0" fillId="0" borderId="28" xfId="0" applyNumberFormat="1" applyFont="1" applyBorder="1" applyAlignment="1">
      <alignment vertical="top"/>
    </xf>
    <xf numFmtId="173" fontId="0" fillId="0" borderId="25" xfId="0" applyNumberFormat="1" applyFont="1" applyBorder="1" applyAlignment="1">
      <alignment vertical="top"/>
    </xf>
    <xf numFmtId="0" fontId="20" fillId="0" borderId="28" xfId="0" applyFont="1" applyBorder="1" applyAlignment="1">
      <alignment horizontal="justify" vertical="top" wrapText="1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horizontal="center" vertical="top"/>
    </xf>
    <xf numFmtId="0" fontId="0" fillId="0" borderId="29" xfId="0" applyFont="1" applyBorder="1" applyAlignment="1">
      <alignment vertical="top"/>
    </xf>
    <xf numFmtId="172" fontId="0" fillId="0" borderId="30" xfId="0" applyNumberFormat="1" applyFont="1" applyBorder="1" applyAlignment="1">
      <alignment horizontal="center" vertical="top"/>
    </xf>
    <xf numFmtId="10" fontId="0" fillId="0" borderId="30" xfId="0" applyNumberFormat="1" applyFont="1" applyBorder="1" applyAlignment="1">
      <alignment horizontal="center" vertical="top"/>
    </xf>
    <xf numFmtId="165" fontId="0" fillId="0" borderId="17" xfId="0" applyNumberFormat="1" applyFont="1" applyBorder="1" applyAlignment="1">
      <alignment vertical="top"/>
    </xf>
    <xf numFmtId="173" fontId="0" fillId="0" borderId="12" xfId="0" applyNumberFormat="1" applyFont="1" applyBorder="1" applyAlignment="1">
      <alignment vertical="top"/>
    </xf>
    <xf numFmtId="0" fontId="20" fillId="0" borderId="17" xfId="0" applyFont="1" applyBorder="1" applyAlignment="1">
      <alignment horizontal="justify" vertical="center" wrapText="1"/>
    </xf>
    <xf numFmtId="172" fontId="0" fillId="0" borderId="26" xfId="0" applyNumberFormat="1" applyFont="1" applyBorder="1" applyAlignment="1">
      <alignment horizontal="center" vertical="top"/>
    </xf>
    <xf numFmtId="165" fontId="0" fillId="0" borderId="28" xfId="0" applyNumberFormat="1" applyFont="1" applyFill="1" applyBorder="1" applyAlignment="1">
      <alignment vertical="top"/>
    </xf>
    <xf numFmtId="174" fontId="32" fillId="0" borderId="28" xfId="0" applyNumberFormat="1" applyFont="1" applyFill="1" applyBorder="1" applyAlignment="1">
      <alignment vertical="top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vertical="top"/>
    </xf>
    <xf numFmtId="172" fontId="0" fillId="0" borderId="33" xfId="0" applyNumberFormat="1" applyFont="1" applyBorder="1" applyAlignment="1">
      <alignment horizontal="center"/>
    </xf>
    <xf numFmtId="10" fontId="0" fillId="0" borderId="32" xfId="0" applyNumberFormat="1" applyFont="1" applyBorder="1" applyAlignment="1">
      <alignment horizontal="center"/>
    </xf>
    <xf numFmtId="165" fontId="0" fillId="0" borderId="34" xfId="0" applyNumberFormat="1" applyFont="1" applyFill="1" applyBorder="1" applyAlignment="1">
      <alignment/>
    </xf>
    <xf numFmtId="173" fontId="0" fillId="0" borderId="31" xfId="0" applyNumberFormat="1" applyFont="1" applyBorder="1" applyAlignment="1">
      <alignment/>
    </xf>
    <xf numFmtId="0" fontId="20" fillId="0" borderId="34" xfId="0" applyFont="1" applyBorder="1" applyAlignment="1">
      <alignment horizontal="justify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9" xfId="0" applyFont="1" applyBorder="1" applyAlignment="1">
      <alignment/>
    </xf>
    <xf numFmtId="172" fontId="0" fillId="0" borderId="29" xfId="0" applyNumberFormat="1" applyFont="1" applyBorder="1" applyAlignment="1">
      <alignment horizontal="center"/>
    </xf>
    <xf numFmtId="10" fontId="0" fillId="0" borderId="29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/>
    </xf>
    <xf numFmtId="173" fontId="0" fillId="0" borderId="12" xfId="0" applyNumberFormat="1" applyFont="1" applyBorder="1" applyAlignment="1">
      <alignment/>
    </xf>
    <xf numFmtId="0" fontId="20" fillId="0" borderId="17" xfId="0" applyFont="1" applyBorder="1" applyAlignment="1">
      <alignment horizontal="justify" wrapText="1"/>
    </xf>
    <xf numFmtId="165" fontId="0" fillId="0" borderId="35" xfId="0" applyNumberFormat="1" applyFont="1" applyBorder="1" applyAlignment="1">
      <alignment/>
    </xf>
    <xf numFmtId="165" fontId="0" fillId="0" borderId="3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73" fontId="0" fillId="0" borderId="25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9" xfId="0" applyFont="1" applyBorder="1" applyAlignment="1">
      <alignment/>
    </xf>
    <xf numFmtId="173" fontId="0" fillId="0" borderId="12" xfId="0" applyNumberFormat="1" applyFont="1" applyBorder="1" applyAlignment="1">
      <alignment/>
    </xf>
    <xf numFmtId="0" fontId="20" fillId="0" borderId="17" xfId="0" applyFont="1" applyBorder="1" applyAlignment="1">
      <alignment wrapText="1"/>
    </xf>
    <xf numFmtId="0" fontId="20" fillId="0" borderId="28" xfId="0" applyFont="1" applyBorder="1" applyAlignment="1">
      <alignment/>
    </xf>
    <xf numFmtId="169" fontId="0" fillId="0" borderId="28" xfId="0" applyNumberFormat="1" applyFont="1" applyBorder="1" applyAlignment="1">
      <alignment/>
    </xf>
    <xf numFmtId="10" fontId="0" fillId="0" borderId="27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172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72" fontId="0" fillId="0" borderId="23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/>
    </xf>
    <xf numFmtId="173" fontId="0" fillId="0" borderId="21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36" xfId="0" applyFont="1" applyBorder="1" applyAlignment="1">
      <alignment/>
    </xf>
    <xf numFmtId="172" fontId="20" fillId="0" borderId="32" xfId="0" applyNumberFormat="1" applyFont="1" applyBorder="1" applyAlignment="1">
      <alignment/>
    </xf>
    <xf numFmtId="0" fontId="20" fillId="0" borderId="33" xfId="0" applyFont="1" applyBorder="1" applyAlignment="1">
      <alignment horizontal="center"/>
    </xf>
    <xf numFmtId="172" fontId="20" fillId="0" borderId="33" xfId="0" applyNumberFormat="1" applyFont="1" applyBorder="1" applyAlignment="1">
      <alignment/>
    </xf>
    <xf numFmtId="165" fontId="20" fillId="0" borderId="34" xfId="0" applyNumberFormat="1" applyFont="1" applyBorder="1" applyAlignment="1">
      <alignment/>
    </xf>
    <xf numFmtId="173" fontId="20" fillId="0" borderId="31" xfId="0" applyNumberFormat="1" applyFont="1" applyBorder="1" applyAlignment="1">
      <alignment/>
    </xf>
    <xf numFmtId="165" fontId="20" fillId="0" borderId="37" xfId="0" applyNumberFormat="1" applyFont="1" applyBorder="1" applyAlignment="1">
      <alignment/>
    </xf>
    <xf numFmtId="0" fontId="20" fillId="0" borderId="31" xfId="0" applyFont="1" applyBorder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20" fillId="0" borderId="14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35" fillId="0" borderId="15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6" borderId="10" xfId="0" applyNumberFormat="1" applyFont="1" applyFill="1" applyBorder="1" applyAlignment="1">
      <alignment/>
    </xf>
    <xf numFmtId="0" fontId="0" fillId="18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3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0" borderId="14" xfId="0" applyNumberFormat="1" applyFont="1" applyBorder="1" applyAlignment="1">
      <alignment/>
    </xf>
    <xf numFmtId="4" fontId="37" fillId="0" borderId="18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0" fontId="20" fillId="0" borderId="10" xfId="0" applyFont="1" applyBorder="1" applyAlignment="1">
      <alignment/>
    </xf>
    <xf numFmtId="4" fontId="37" fillId="0" borderId="15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35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4" fontId="33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/>
    </xf>
    <xf numFmtId="4" fontId="32" fillId="15" borderId="15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32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33" fillId="0" borderId="10" xfId="0" applyNumberFormat="1" applyFont="1" applyFill="1" applyBorder="1" applyAlignment="1">
      <alignment/>
    </xf>
    <xf numFmtId="4" fontId="33" fillId="0" borderId="14" xfId="0" applyNumberFormat="1" applyFont="1" applyFill="1" applyBorder="1" applyAlignment="1">
      <alignment/>
    </xf>
    <xf numFmtId="4" fontId="37" fillId="0" borderId="18" xfId="0" applyNumberFormat="1" applyFont="1" applyFill="1" applyBorder="1" applyAlignment="1">
      <alignment/>
    </xf>
    <xf numFmtId="4" fontId="37" fillId="0" borderId="15" xfId="0" applyNumberFormat="1" applyFont="1" applyFill="1" applyBorder="1" applyAlignment="1">
      <alignment/>
    </xf>
    <xf numFmtId="4" fontId="32" fillId="0" borderId="14" xfId="0" applyNumberFormat="1" applyFont="1" applyFill="1" applyBorder="1" applyAlignment="1">
      <alignment/>
    </xf>
    <xf numFmtId="0" fontId="19" fillId="0" borderId="10" xfId="0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/>
    </xf>
    <xf numFmtId="4" fontId="22" fillId="0" borderId="14" xfId="0" applyNumberFormat="1" applyFont="1" applyBorder="1" applyAlignment="1">
      <alignment/>
    </xf>
    <xf numFmtId="4" fontId="38" fillId="0" borderId="1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39" fillId="0" borderId="0" xfId="0" applyFont="1" applyBorder="1" applyAlignment="1">
      <alignment/>
    </xf>
    <xf numFmtId="49" fontId="27" fillId="19" borderId="13" xfId="61" applyNumberFormat="1" applyFont="1" applyFill="1" applyBorder="1">
      <alignment/>
      <protection/>
    </xf>
    <xf numFmtId="0" fontId="27" fillId="19" borderId="13" xfId="61" applyFont="1" applyFill="1" applyBorder="1" applyAlignment="1">
      <alignment vertical="top" wrapText="1"/>
      <protection/>
    </xf>
    <xf numFmtId="0" fontId="27" fillId="19" borderId="13" xfId="61" applyFont="1" applyFill="1" applyBorder="1" applyAlignment="1">
      <alignment horizontal="center"/>
      <protection/>
    </xf>
    <xf numFmtId="0" fontId="0" fillId="19" borderId="0" xfId="61" applyFill="1" applyBorder="1">
      <alignment/>
      <protection/>
    </xf>
    <xf numFmtId="0" fontId="27" fillId="19" borderId="13" xfId="61" applyFont="1" applyFill="1" applyBorder="1">
      <alignment/>
      <protection/>
    </xf>
    <xf numFmtId="49" fontId="27" fillId="19" borderId="13" xfId="61" applyNumberFormat="1" applyFont="1" applyFill="1" applyBorder="1" applyAlignment="1">
      <alignment wrapText="1"/>
      <protection/>
    </xf>
    <xf numFmtId="0" fontId="30" fillId="0" borderId="38" xfId="61" applyFont="1" applyFill="1" applyBorder="1">
      <alignment/>
      <protection/>
    </xf>
    <xf numFmtId="0" fontId="30" fillId="0" borderId="39" xfId="61" applyFont="1" applyFill="1" applyBorder="1">
      <alignment/>
      <protection/>
    </xf>
    <xf numFmtId="0" fontId="30" fillId="0" borderId="40" xfId="61" applyFont="1" applyFill="1" applyBorder="1">
      <alignment/>
      <protection/>
    </xf>
    <xf numFmtId="3" fontId="0" fillId="0" borderId="41" xfId="61" applyNumberFormat="1" applyFill="1" applyBorder="1" applyAlignment="1">
      <alignment horizontal="center"/>
      <protection/>
    </xf>
    <xf numFmtId="3" fontId="0" fillId="0" borderId="42" xfId="61" applyNumberFormat="1" applyFill="1" applyBorder="1" applyAlignment="1">
      <alignment horizontal="center"/>
      <protection/>
    </xf>
    <xf numFmtId="0" fontId="28" fillId="19" borderId="13" xfId="61" applyFont="1" applyFill="1" applyBorder="1" applyAlignment="1">
      <alignment vertical="top" wrapText="1"/>
      <protection/>
    </xf>
    <xf numFmtId="0" fontId="0" fillId="0" borderId="41" xfId="61" applyFont="1" applyFill="1" applyBorder="1">
      <alignment/>
      <protection/>
    </xf>
    <xf numFmtId="0" fontId="0" fillId="0" borderId="42" xfId="61" applyFill="1" applyBorder="1">
      <alignment/>
      <protection/>
    </xf>
    <xf numFmtId="0" fontId="0" fillId="0" borderId="43" xfId="61" applyFont="1" applyFill="1" applyBorder="1">
      <alignment/>
      <protection/>
    </xf>
    <xf numFmtId="0" fontId="0" fillId="0" borderId="44" xfId="61" applyFill="1" applyBorder="1">
      <alignment/>
      <protection/>
    </xf>
    <xf numFmtId="0" fontId="0" fillId="0" borderId="45" xfId="61" applyFill="1" applyBorder="1">
      <alignment/>
      <protection/>
    </xf>
    <xf numFmtId="177" fontId="0" fillId="0" borderId="0" xfId="46" applyNumberFormat="1" applyFont="1" applyBorder="1" applyAlignment="1">
      <alignment/>
    </xf>
    <xf numFmtId="177" fontId="26" fillId="0" borderId="0" xfId="46" applyNumberFormat="1" applyFont="1" applyBorder="1" applyAlignment="1">
      <alignment/>
    </xf>
    <xf numFmtId="177" fontId="27" fillId="19" borderId="13" xfId="46" applyNumberFormat="1" applyFont="1" applyFill="1" applyBorder="1" applyAlignment="1">
      <alignment horizontal="center"/>
    </xf>
    <xf numFmtId="177" fontId="27" fillId="19" borderId="13" xfId="46" applyNumberFormat="1" applyFont="1" applyFill="1" applyBorder="1" applyAlignment="1">
      <alignment/>
    </xf>
    <xf numFmtId="177" fontId="0" fillId="0" borderId="13" xfId="46" applyNumberFormat="1" applyFont="1" applyFill="1" applyBorder="1" applyAlignment="1">
      <alignment/>
    </xf>
    <xf numFmtId="177" fontId="27" fillId="0" borderId="13" xfId="46" applyNumberFormat="1" applyFont="1" applyFill="1" applyBorder="1" applyAlignment="1">
      <alignment horizontal="right"/>
    </xf>
    <xf numFmtId="177" fontId="0" fillId="0" borderId="13" xfId="46" applyNumberFormat="1" applyFont="1" applyFill="1" applyBorder="1" applyAlignment="1">
      <alignment/>
    </xf>
    <xf numFmtId="177" fontId="27" fillId="0" borderId="13" xfId="46" applyNumberFormat="1" applyFont="1" applyFill="1" applyBorder="1" applyAlignment="1">
      <alignment/>
    </xf>
    <xf numFmtId="177" fontId="27" fillId="0" borderId="13" xfId="46" applyNumberFormat="1" applyFont="1" applyFill="1" applyBorder="1" applyAlignment="1" applyProtection="1">
      <alignment/>
      <protection locked="0"/>
    </xf>
    <xf numFmtId="177" fontId="29" fillId="0" borderId="13" xfId="46" applyNumberFormat="1" applyFont="1" applyFill="1" applyBorder="1" applyAlignment="1">
      <alignment vertical="top" wrapText="1"/>
    </xf>
    <xf numFmtId="177" fontId="27" fillId="0" borderId="13" xfId="46" applyNumberFormat="1" applyFont="1" applyFill="1" applyBorder="1" applyAlignment="1">
      <alignment/>
    </xf>
    <xf numFmtId="3" fontId="31" fillId="0" borderId="13" xfId="51" applyNumberFormat="1" applyFont="1" applyFill="1" applyBorder="1" applyAlignment="1">
      <alignment readingOrder="1"/>
    </xf>
    <xf numFmtId="3" fontId="30" fillId="0" borderId="13" xfId="46" applyNumberFormat="1" applyFont="1" applyFill="1" applyBorder="1" applyAlignment="1">
      <alignment horizontal="right"/>
    </xf>
    <xf numFmtId="177" fontId="0" fillId="0" borderId="0" xfId="46" applyNumberFormat="1" applyFont="1" applyFill="1" applyBorder="1" applyAlignment="1">
      <alignment horizontal="center"/>
    </xf>
    <xf numFmtId="177" fontId="28" fillId="0" borderId="13" xfId="46" applyNumberFormat="1" applyFont="1" applyFill="1" applyBorder="1" applyAlignment="1">
      <alignment/>
    </xf>
    <xf numFmtId="177" fontId="26" fillId="0" borderId="13" xfId="46" applyNumberFormat="1" applyFont="1" applyFill="1" applyBorder="1" applyAlignment="1">
      <alignment horizontal="right"/>
    </xf>
    <xf numFmtId="177" fontId="27" fillId="0" borderId="0" xfId="46" applyNumberFormat="1" applyFont="1" applyBorder="1" applyAlignment="1">
      <alignment horizontal="right"/>
    </xf>
    <xf numFmtId="17" fontId="19" fillId="0" borderId="0" xfId="61" applyNumberFormat="1" applyFont="1" applyBorder="1">
      <alignment/>
      <protection/>
    </xf>
    <xf numFmtId="165" fontId="27" fillId="0" borderId="10" xfId="0" applyNumberFormat="1" applyFont="1" applyBorder="1" applyAlignment="1">
      <alignment horizontal="right"/>
    </xf>
    <xf numFmtId="168" fontId="21" fillId="0" borderId="10" xfId="0" applyNumberFormat="1" applyFont="1" applyFill="1" applyBorder="1" applyAlignment="1">
      <alignment/>
    </xf>
    <xf numFmtId="165" fontId="27" fillId="0" borderId="13" xfId="0" applyNumberFormat="1" applyFont="1" applyBorder="1" applyAlignment="1">
      <alignment horizontal="right"/>
    </xf>
    <xf numFmtId="4" fontId="35" fillId="20" borderId="15" xfId="0" applyNumberFormat="1" applyFont="1" applyFill="1" applyBorder="1" applyAlignment="1">
      <alignment/>
    </xf>
    <xf numFmtId="4" fontId="0" fillId="20" borderId="14" xfId="0" applyNumberFormat="1" applyFont="1" applyFill="1" applyBorder="1" applyAlignment="1">
      <alignment/>
    </xf>
    <xf numFmtId="4" fontId="2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20" borderId="15" xfId="0" applyNumberFormat="1" applyFill="1" applyBorder="1" applyAlignment="1">
      <alignment/>
    </xf>
    <xf numFmtId="4" fontId="32" fillId="20" borderId="15" xfId="0" applyNumberFormat="1" applyFont="1" applyFill="1" applyBorder="1" applyAlignment="1">
      <alignment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/>
    </xf>
    <xf numFmtId="0" fontId="0" fillId="20" borderId="10" xfId="0" applyNumberFormat="1" applyFill="1" applyBorder="1" applyAlignment="1">
      <alignment horizontal="center"/>
    </xf>
    <xf numFmtId="4" fontId="0" fillId="20" borderId="10" xfId="0" applyNumberFormat="1" applyFont="1" applyFill="1" applyBorder="1" applyAlignment="1">
      <alignment/>
    </xf>
    <xf numFmtId="4" fontId="0" fillId="20" borderId="15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7" fillId="19" borderId="46" xfId="61" applyFont="1" applyFill="1" applyBorder="1" applyAlignment="1">
      <alignment horizontal="center"/>
      <protection/>
    </xf>
    <xf numFmtId="0" fontId="27" fillId="19" borderId="47" xfId="61" applyFont="1" applyFill="1" applyBorder="1" applyAlignment="1">
      <alignment horizontal="center"/>
      <protection/>
    </xf>
    <xf numFmtId="0" fontId="27" fillId="19" borderId="48" xfId="61" applyFont="1" applyFill="1" applyBorder="1" applyAlignment="1">
      <alignment horizontal="center"/>
      <protection/>
    </xf>
    <xf numFmtId="0" fontId="27" fillId="19" borderId="13" xfId="61" applyFont="1" applyFill="1" applyBorder="1" applyAlignment="1">
      <alignment horizontal="center"/>
      <protection/>
    </xf>
    <xf numFmtId="3" fontId="28" fillId="0" borderId="46" xfId="61" applyNumberFormat="1" applyFont="1" applyFill="1" applyBorder="1" applyAlignment="1">
      <alignment horizontal="center"/>
      <protection/>
    </xf>
    <xf numFmtId="3" fontId="28" fillId="0" borderId="48" xfId="61" applyNumberFormat="1" applyFont="1" applyFill="1" applyBorder="1" applyAlignment="1">
      <alignment horizontal="center"/>
      <protection/>
    </xf>
    <xf numFmtId="0" fontId="0" fillId="19" borderId="13" xfId="61" applyFill="1" applyBorder="1">
      <alignment/>
      <protection/>
    </xf>
    <xf numFmtId="3" fontId="28" fillId="0" borderId="47" xfId="61" applyNumberFormat="1" applyFont="1" applyFill="1" applyBorder="1" applyAlignment="1">
      <alignment horizontal="center"/>
      <protection/>
    </xf>
    <xf numFmtId="49" fontId="26" fillId="0" borderId="49" xfId="61" applyNumberFormat="1" applyFont="1" applyBorder="1" applyAlignment="1">
      <alignment horizontal="left" wrapText="1"/>
      <protection/>
    </xf>
    <xf numFmtId="17" fontId="27" fillId="19" borderId="13" xfId="61" applyNumberFormat="1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65" fontId="21" fillId="0" borderId="10" xfId="0" applyNumberFormat="1" applyFont="1" applyFill="1" applyBorder="1" applyAlignment="1">
      <alignment horizontal="right"/>
    </xf>
    <xf numFmtId="10" fontId="21" fillId="0" borderId="10" xfId="0" applyNumberFormat="1" applyFont="1" applyFill="1" applyBorder="1" applyAlignment="1">
      <alignment horizontal="center"/>
    </xf>
    <xf numFmtId="165" fontId="21" fillId="0" borderId="0" xfId="0" applyNumberFormat="1" applyFont="1" applyFill="1" applyAlignment="1">
      <alignment/>
    </xf>
    <xf numFmtId="167" fontId="21" fillId="0" borderId="10" xfId="0" applyNumberFormat="1" applyFont="1" applyFill="1" applyBorder="1" applyAlignment="1">
      <alignment horizontal="right"/>
    </xf>
    <xf numFmtId="164" fontId="21" fillId="0" borderId="10" xfId="42" applyFont="1" applyFill="1" applyBorder="1" applyAlignment="1" applyProtection="1">
      <alignment horizontal="right"/>
      <protection/>
    </xf>
    <xf numFmtId="169" fontId="21" fillId="0" borderId="10" xfId="0" applyNumberFormat="1" applyFont="1" applyFill="1" applyBorder="1" applyAlignment="1">
      <alignment horizontal="right"/>
    </xf>
    <xf numFmtId="168" fontId="21" fillId="0" borderId="10" xfId="0" applyNumberFormat="1" applyFont="1" applyFill="1" applyBorder="1" applyAlignment="1">
      <alignment horizontal="right"/>
    </xf>
    <xf numFmtId="170" fontId="21" fillId="0" borderId="10" xfId="42" applyNumberFormat="1" applyFont="1" applyFill="1" applyBorder="1" applyAlignment="1" applyProtection="1">
      <alignment horizontal="right"/>
      <protection/>
    </xf>
    <xf numFmtId="171" fontId="21" fillId="0" borderId="10" xfId="0" applyNumberFormat="1" applyFont="1" applyFill="1" applyBorder="1" applyAlignment="1">
      <alignment horizontal="right"/>
    </xf>
    <xf numFmtId="165" fontId="19" fillId="0" borderId="10" xfId="0" applyNumberFormat="1" applyFont="1" applyFill="1" applyBorder="1" applyAlignment="1">
      <alignment/>
    </xf>
    <xf numFmtId="10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2 2" xfId="50"/>
    <cellStyle name="Currency 2 3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dejager\Local%20Settings\Temporary%20Internet%20Files\Content.Outlook\YROD762C\Copy%20of%20MONTHLY%20REPORT%20AUG%20ab01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EXP"/>
      <sheetName val="CAP"/>
      <sheetName val="SDBIP"/>
      <sheetName val="ROLL"/>
      <sheetName val="INV"/>
      <sheetName val="Don't print this page, Peter"/>
    </sheetNames>
    <sheetDataSet>
      <sheetData sheetId="0">
        <row r="11">
          <cell r="D11">
            <v>22478702</v>
          </cell>
        </row>
        <row r="12">
          <cell r="D12">
            <v>114528</v>
          </cell>
        </row>
        <row r="13">
          <cell r="D13">
            <v>27278</v>
          </cell>
        </row>
        <row r="14">
          <cell r="D14">
            <v>1326161</v>
          </cell>
        </row>
        <row r="18">
          <cell r="D18">
            <v>154518</v>
          </cell>
        </row>
        <row r="19">
          <cell r="D19">
            <v>1842462</v>
          </cell>
        </row>
        <row r="20">
          <cell r="D20">
            <v>226791</v>
          </cell>
        </row>
        <row r="21">
          <cell r="D21">
            <v>0</v>
          </cell>
        </row>
        <row r="22">
          <cell r="D22">
            <v>19289</v>
          </cell>
        </row>
      </sheetData>
      <sheetData sheetId="1">
        <row r="9">
          <cell r="D9">
            <v>765083</v>
          </cell>
        </row>
        <row r="16">
          <cell r="D16">
            <v>507065</v>
          </cell>
        </row>
        <row r="22">
          <cell r="D22">
            <v>957538</v>
          </cell>
        </row>
        <row r="28">
          <cell r="D28">
            <v>459933</v>
          </cell>
        </row>
        <row r="34">
          <cell r="D34">
            <v>280683</v>
          </cell>
        </row>
        <row r="40">
          <cell r="D40">
            <v>1451230</v>
          </cell>
        </row>
        <row r="47">
          <cell r="D47">
            <v>385727</v>
          </cell>
        </row>
        <row r="53">
          <cell r="D53">
            <v>128731</v>
          </cell>
        </row>
        <row r="61">
          <cell r="D61">
            <v>1326161</v>
          </cell>
        </row>
        <row r="69">
          <cell r="D69">
            <v>389029</v>
          </cell>
        </row>
      </sheetData>
      <sheetData sheetId="2">
        <row r="15">
          <cell r="D15">
            <v>8660</v>
          </cell>
        </row>
        <row r="25">
          <cell r="D25">
            <v>146250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2.57421875" style="317" customWidth="1"/>
    <col min="2" max="2" width="14.28125" style="317" customWidth="1"/>
    <col min="3" max="3" width="17.7109375" style="317" customWidth="1"/>
    <col min="4" max="4" width="14.140625" style="317" customWidth="1"/>
    <col min="5" max="7" width="13.7109375" style="317" customWidth="1"/>
    <col min="8" max="8" width="20.421875" style="317" customWidth="1"/>
    <col min="9" max="16384" width="9.140625" style="317" customWidth="1"/>
  </cols>
  <sheetData>
    <row r="2" spans="1:8" ht="18">
      <c r="A2" s="316" t="s">
        <v>0</v>
      </c>
      <c r="B2" s="316"/>
      <c r="C2" s="316"/>
      <c r="D2" s="316"/>
      <c r="E2" s="316"/>
      <c r="F2" s="316"/>
      <c r="G2" s="316"/>
      <c r="H2" s="316"/>
    </row>
    <row r="3" spans="1:8" ht="15.75">
      <c r="A3" s="318" t="s">
        <v>1</v>
      </c>
      <c r="B3" s="318"/>
      <c r="C3" s="318"/>
      <c r="D3" s="318"/>
      <c r="E3" s="318"/>
      <c r="F3" s="318"/>
      <c r="G3" s="318"/>
      <c r="H3" s="318"/>
    </row>
    <row r="4" spans="1:8" ht="15.75">
      <c r="A4" s="318" t="s">
        <v>264</v>
      </c>
      <c r="B4" s="318"/>
      <c r="C4" s="318"/>
      <c r="D4" s="318"/>
      <c r="E4" s="318"/>
      <c r="F4" s="318"/>
      <c r="G4" s="318"/>
      <c r="H4" s="318"/>
    </row>
    <row r="5" spans="1:8" ht="12.75">
      <c r="A5" s="319"/>
      <c r="B5" s="319"/>
      <c r="C5" s="319"/>
      <c r="D5" s="319"/>
      <c r="E5" s="319"/>
      <c r="F5" s="319"/>
      <c r="G5" s="319"/>
      <c r="H5" s="319"/>
    </row>
    <row r="6" ht="9" customHeight="1"/>
    <row r="7" spans="1:8" s="321" customFormat="1" ht="76.5" customHeight="1">
      <c r="A7" s="320" t="s">
        <v>2</v>
      </c>
      <c r="B7" s="320" t="s">
        <v>3</v>
      </c>
      <c r="C7" s="320" t="s">
        <v>282</v>
      </c>
      <c r="D7" s="320" t="s">
        <v>4</v>
      </c>
      <c r="E7" s="320" t="s">
        <v>283</v>
      </c>
      <c r="F7" s="320" t="s">
        <v>5</v>
      </c>
      <c r="G7" s="320" t="s">
        <v>6</v>
      </c>
      <c r="H7" s="320" t="s">
        <v>7</v>
      </c>
    </row>
    <row r="8" spans="1:8" s="321" customFormat="1" ht="15">
      <c r="A8" s="322" t="s">
        <v>8</v>
      </c>
      <c r="B8" s="322" t="s">
        <v>8</v>
      </c>
      <c r="C8" s="322" t="s">
        <v>8</v>
      </c>
      <c r="D8" s="322" t="s">
        <v>8</v>
      </c>
      <c r="E8" s="322" t="s">
        <v>9</v>
      </c>
      <c r="F8" s="322" t="s">
        <v>10</v>
      </c>
      <c r="G8" s="322" t="s">
        <v>11</v>
      </c>
      <c r="H8" s="4"/>
    </row>
    <row r="9" spans="1:8" s="321" customFormat="1" ht="15">
      <c r="A9" s="4"/>
      <c r="B9" s="4"/>
      <c r="C9" s="4"/>
      <c r="D9" s="4"/>
      <c r="E9" s="4"/>
      <c r="F9" s="4"/>
      <c r="G9" s="4"/>
      <c r="H9" s="4"/>
    </row>
    <row r="10" spans="1:8" s="321" customFormat="1" ht="15.75">
      <c r="A10" s="323" t="s">
        <v>12</v>
      </c>
      <c r="B10" s="4"/>
      <c r="C10" s="4"/>
      <c r="D10" s="4"/>
      <c r="E10" s="4"/>
      <c r="F10" s="4"/>
      <c r="G10" s="4"/>
      <c r="H10" s="4"/>
    </row>
    <row r="11" spans="1:8" s="321" customFormat="1" ht="15">
      <c r="A11" s="4" t="s">
        <v>13</v>
      </c>
      <c r="B11" s="2">
        <v>67436000</v>
      </c>
      <c r="C11" s="324">
        <f>SDBIP!AK34</f>
        <v>39337728</v>
      </c>
      <c r="D11" s="2">
        <v>39337728</v>
      </c>
      <c r="E11" s="325">
        <f>C11/B11</f>
        <v>0.5833342428376534</v>
      </c>
      <c r="F11" s="325">
        <f>+D11/B11*100%</f>
        <v>0.5833342428376534</v>
      </c>
      <c r="G11" s="325">
        <f>+E11-F11</f>
        <v>0</v>
      </c>
      <c r="H11" s="4"/>
    </row>
    <row r="12" spans="1:8" s="321" customFormat="1" ht="15">
      <c r="A12" s="4" t="s">
        <v>14</v>
      </c>
      <c r="B12" s="326">
        <v>735000</v>
      </c>
      <c r="C12" s="324">
        <f>SDBIP!AK36</f>
        <v>735000</v>
      </c>
      <c r="D12" s="2">
        <v>337304</v>
      </c>
      <c r="E12" s="325">
        <f>C12/B12</f>
        <v>1</v>
      </c>
      <c r="F12" s="325">
        <f>+D12/B12*100%</f>
        <v>0.4589170068027211</v>
      </c>
      <c r="G12" s="325">
        <f>+E12-F12</f>
        <v>0.5410829931972789</v>
      </c>
      <c r="H12" s="4" t="s">
        <v>15</v>
      </c>
    </row>
    <row r="13" spans="1:8" s="321" customFormat="1" ht="15">
      <c r="A13" s="4" t="s">
        <v>16</v>
      </c>
      <c r="B13" s="2">
        <v>500000</v>
      </c>
      <c r="C13" s="324">
        <f>SDBIP!AK35</f>
        <v>500000</v>
      </c>
      <c r="D13" s="3">
        <v>113747</v>
      </c>
      <c r="E13" s="325">
        <f>C13/B13</f>
        <v>1</v>
      </c>
      <c r="F13" s="325">
        <f>+D13/B13*100%</f>
        <v>0.227494</v>
      </c>
      <c r="G13" s="325">
        <f>+E13-F13</f>
        <v>0.772506</v>
      </c>
      <c r="H13" s="4" t="s">
        <v>17</v>
      </c>
    </row>
    <row r="14" spans="1:8" s="321" customFormat="1" ht="15">
      <c r="A14" s="4" t="s">
        <v>18</v>
      </c>
      <c r="B14" s="327">
        <v>0</v>
      </c>
      <c r="C14" s="328">
        <f>SDBIP!AK37</f>
        <v>0</v>
      </c>
      <c r="D14" s="291">
        <v>1159834</v>
      </c>
      <c r="E14" s="325">
        <v>0</v>
      </c>
      <c r="F14" s="325"/>
      <c r="G14" s="325">
        <v>1</v>
      </c>
      <c r="H14" s="4" t="s">
        <v>19</v>
      </c>
    </row>
    <row r="15" spans="1:8" s="321" customFormat="1" ht="15" hidden="1">
      <c r="A15" s="4"/>
      <c r="B15" s="327"/>
      <c r="C15" s="328"/>
      <c r="D15" s="291"/>
      <c r="E15" s="325"/>
      <c r="F15" s="325"/>
      <c r="G15" s="325"/>
      <c r="H15" s="4"/>
    </row>
    <row r="16" spans="1:8" s="321" customFormat="1" ht="15">
      <c r="A16" s="4" t="s">
        <v>277</v>
      </c>
      <c r="B16" s="327">
        <v>0</v>
      </c>
      <c r="C16" s="328">
        <v>0</v>
      </c>
      <c r="D16" s="291">
        <v>19380</v>
      </c>
      <c r="E16" s="325">
        <v>0</v>
      </c>
      <c r="F16" s="325"/>
      <c r="G16" s="325">
        <v>1</v>
      </c>
      <c r="H16" s="4" t="s">
        <v>23</v>
      </c>
    </row>
    <row r="17" spans="1:8" s="321" customFormat="1" ht="15">
      <c r="A17" s="4" t="s">
        <v>280</v>
      </c>
      <c r="B17" s="327">
        <v>0</v>
      </c>
      <c r="C17" s="328">
        <f>SDBIP!AK38</f>
        <v>0</v>
      </c>
      <c r="D17" s="291">
        <v>132017.9</v>
      </c>
      <c r="E17" s="325">
        <v>0</v>
      </c>
      <c r="F17" s="325"/>
      <c r="G17" s="325">
        <v>1</v>
      </c>
      <c r="H17" s="4" t="s">
        <v>27</v>
      </c>
    </row>
    <row r="18" spans="1:8" s="321" customFormat="1" ht="15">
      <c r="A18" s="4"/>
      <c r="B18" s="2"/>
      <c r="C18" s="2"/>
      <c r="D18" s="2"/>
      <c r="E18" s="4"/>
      <c r="F18" s="4"/>
      <c r="G18" s="4"/>
      <c r="H18" s="4"/>
    </row>
    <row r="19" spans="1:8" s="321" customFormat="1" ht="15.75">
      <c r="A19" s="323" t="s">
        <v>20</v>
      </c>
      <c r="B19" s="2"/>
      <c r="C19" s="2"/>
      <c r="D19" s="2"/>
      <c r="E19" s="4"/>
      <c r="F19" s="4"/>
      <c r="G19" s="4"/>
      <c r="H19" s="4"/>
    </row>
    <row r="20" spans="1:8" s="321" customFormat="1" ht="15" hidden="1">
      <c r="A20" s="4"/>
      <c r="B20" s="329"/>
      <c r="C20" s="329"/>
      <c r="D20" s="2"/>
      <c r="E20" s="325"/>
      <c r="F20" s="4"/>
      <c r="G20" s="4"/>
      <c r="H20" s="4"/>
    </row>
    <row r="21" spans="1:8" s="321" customFormat="1" ht="15">
      <c r="A21" s="4" t="s">
        <v>258</v>
      </c>
      <c r="B21" s="327">
        <v>0</v>
      </c>
      <c r="C21" s="328">
        <v>0</v>
      </c>
      <c r="D21" s="2">
        <v>205215</v>
      </c>
      <c r="E21" s="325">
        <v>0</v>
      </c>
      <c r="F21" s="4"/>
      <c r="G21" s="325">
        <v>1</v>
      </c>
      <c r="H21" s="4" t="s">
        <v>256</v>
      </c>
    </row>
    <row r="22" spans="1:8" s="321" customFormat="1" ht="15">
      <c r="A22" s="4" t="s">
        <v>21</v>
      </c>
      <c r="B22" s="2">
        <v>500000</v>
      </c>
      <c r="C22" s="324">
        <f>SDBIP!AK29*500/4700</f>
        <v>308510.6382978723</v>
      </c>
      <c r="D22" s="2">
        <v>340896</v>
      </c>
      <c r="E22" s="325">
        <f>C22/B22</f>
        <v>0.6170212765957447</v>
      </c>
      <c r="F22" s="325">
        <f aca="true" t="shared" si="0" ref="F22:F28">+D22/B22*100%</f>
        <v>0.681792</v>
      </c>
      <c r="G22" s="325">
        <f aca="true" t="shared" si="1" ref="G22:G28">+E22-F22</f>
        <v>-0.06477072340425527</v>
      </c>
      <c r="H22" s="4"/>
    </row>
    <row r="23" spans="1:8" s="321" customFormat="1" ht="15">
      <c r="A23" s="4" t="s">
        <v>22</v>
      </c>
      <c r="B23" s="2">
        <v>4200000</v>
      </c>
      <c r="C23" s="324">
        <f>SDBIP!AK29*4200/4700</f>
        <v>2591489.361702128</v>
      </c>
      <c r="D23" s="2">
        <v>5087608</v>
      </c>
      <c r="E23" s="325">
        <f>C23/B23</f>
        <v>0.6170212765957447</v>
      </c>
      <c r="F23" s="325">
        <f t="shared" si="0"/>
        <v>1.211335238095238</v>
      </c>
      <c r="G23" s="325">
        <f t="shared" si="1"/>
        <v>-0.5943139614994933</v>
      </c>
      <c r="H23" s="4" t="s">
        <v>275</v>
      </c>
    </row>
    <row r="24" spans="1:8" s="321" customFormat="1" ht="15">
      <c r="A24" s="4" t="s">
        <v>24</v>
      </c>
      <c r="B24" s="2">
        <v>1808300</v>
      </c>
      <c r="C24" s="324">
        <f>SDBIP!AK28</f>
        <v>978300</v>
      </c>
      <c r="D24" s="2">
        <v>630679</v>
      </c>
      <c r="E24" s="325">
        <f>C24/B24</f>
        <v>0.541005364154178</v>
      </c>
      <c r="F24" s="325">
        <f t="shared" si="0"/>
        <v>0.34876900956699664</v>
      </c>
      <c r="G24" s="325">
        <f t="shared" si="1"/>
        <v>0.19223635458718136</v>
      </c>
      <c r="H24" s="4" t="s">
        <v>278</v>
      </c>
    </row>
    <row r="25" spans="1:8" s="321" customFormat="1" ht="15">
      <c r="A25" s="4" t="s">
        <v>25</v>
      </c>
      <c r="B25" s="330">
        <v>90000</v>
      </c>
      <c r="C25" s="331">
        <f>SDBIP!AK33</f>
        <v>42740</v>
      </c>
      <c r="D25" s="291">
        <v>3294</v>
      </c>
      <c r="E25" s="325">
        <f>C25/B25</f>
        <v>0.4748888888888889</v>
      </c>
      <c r="F25" s="325">
        <v>0</v>
      </c>
      <c r="G25" s="325">
        <f t="shared" si="1"/>
        <v>0.4748888888888889</v>
      </c>
      <c r="H25" s="4" t="s">
        <v>279</v>
      </c>
    </row>
    <row r="26" spans="1:8" s="321" customFormat="1" ht="15">
      <c r="A26" s="4" t="s">
        <v>26</v>
      </c>
      <c r="B26" s="324">
        <v>11500</v>
      </c>
      <c r="C26" s="324">
        <f>SDBIP!AK32</f>
        <v>5760</v>
      </c>
      <c r="D26" s="332">
        <v>326787.14</v>
      </c>
      <c r="E26" s="325">
        <f>C26/B26</f>
        <v>0.5008695652173913</v>
      </c>
      <c r="F26" s="325">
        <f>+D26/B26*100%</f>
        <v>28.416273043478263</v>
      </c>
      <c r="G26" s="325">
        <f>+E26-F26</f>
        <v>-27.91540347826087</v>
      </c>
      <c r="H26" s="4" t="s">
        <v>281</v>
      </c>
    </row>
    <row r="27" spans="1:8" s="321" customFormat="1" ht="15">
      <c r="A27" s="4"/>
      <c r="B27" s="324"/>
      <c r="C27" s="324"/>
      <c r="D27" s="324"/>
      <c r="E27" s="325"/>
      <c r="F27" s="325"/>
      <c r="G27" s="325"/>
      <c r="H27" s="4"/>
    </row>
    <row r="28" spans="1:8" s="335" customFormat="1" ht="15.75">
      <c r="A28" s="323" t="s">
        <v>28</v>
      </c>
      <c r="B28" s="333">
        <f>SUM(B11:B26)</f>
        <v>75280800</v>
      </c>
      <c r="C28" s="333">
        <f>SUM(C11:C26)</f>
        <v>44499528</v>
      </c>
      <c r="D28" s="333">
        <f>SUM(D11:D26)</f>
        <v>47694490.04</v>
      </c>
      <c r="E28" s="334">
        <f>C28/B28</f>
        <v>0.5911139095227468</v>
      </c>
      <c r="F28" s="334">
        <f t="shared" si="0"/>
        <v>0.6335545057969628</v>
      </c>
      <c r="G28" s="334">
        <f t="shared" si="1"/>
        <v>-0.042440596274216036</v>
      </c>
      <c r="H28" s="323"/>
    </row>
    <row r="29" spans="1:8" s="321" customFormat="1" ht="15">
      <c r="A29" s="4"/>
      <c r="B29" s="2"/>
      <c r="C29" s="2"/>
      <c r="D29" s="2"/>
      <c r="E29" s="322"/>
      <c r="F29" s="4"/>
      <c r="G29" s="4"/>
      <c r="H29" s="4"/>
    </row>
    <row r="30" spans="1:8" s="321" customFormat="1" ht="15">
      <c r="A30" s="4"/>
      <c r="B30" s="2"/>
      <c r="C30" s="2"/>
      <c r="D30" s="2"/>
      <c r="E30" s="4"/>
      <c r="F30" s="4"/>
      <c r="G30" s="4"/>
      <c r="H30" s="4"/>
    </row>
    <row r="31" s="321" customFormat="1" ht="15"/>
    <row r="32" s="321" customFormat="1" ht="15"/>
  </sheetData>
  <sheetProtection/>
  <mergeCells count="3">
    <mergeCell ref="A2:H2"/>
    <mergeCell ref="A3:H3"/>
    <mergeCell ref="A4:H4"/>
  </mergeCells>
  <printOptions/>
  <pageMargins left="0" right="0.15763888888888888" top="0.9840277777777778" bottom="0.9840277777777778" header="0.5118055555555556" footer="0.5118055555555556"/>
  <pageSetup fitToHeight="1" fitToWidth="1" horizontalDpi="300" verticalDpi="3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PageLayoutView="0" workbookViewId="0" topLeftCell="A1">
      <selection activeCell="H4" sqref="H1:H16384"/>
    </sheetView>
  </sheetViews>
  <sheetFormatPr defaultColWidth="9.140625" defaultRowHeight="12.75"/>
  <cols>
    <col min="1" max="1" width="44.421875" style="0" customWidth="1"/>
    <col min="2" max="2" width="15.8515625" style="0" customWidth="1"/>
    <col min="3" max="3" width="16.7109375" style="0" customWidth="1"/>
    <col min="4" max="4" width="13.8515625" style="0" customWidth="1"/>
    <col min="5" max="5" width="11.57421875" style="0" customWidth="1"/>
    <col min="6" max="6" width="14.421875" style="0" customWidth="1"/>
    <col min="7" max="7" width="11.57421875" style="0" customWidth="1"/>
    <col min="8" max="8" width="15.28125" style="317" bestFit="1" customWidth="1"/>
  </cols>
  <sheetData>
    <row r="1" spans="1:8" ht="18">
      <c r="A1" s="304" t="s">
        <v>29</v>
      </c>
      <c r="B1" s="304"/>
      <c r="C1" s="304"/>
      <c r="D1" s="304"/>
      <c r="E1" s="304"/>
      <c r="F1" s="304"/>
      <c r="G1" s="304"/>
      <c r="H1" s="304"/>
    </row>
    <row r="2" spans="1:8" ht="15.75">
      <c r="A2" s="305" t="s">
        <v>30</v>
      </c>
      <c r="B2" s="305"/>
      <c r="C2" s="305"/>
      <c r="D2" s="305"/>
      <c r="E2" s="305"/>
      <c r="F2" s="305"/>
      <c r="G2" s="305"/>
      <c r="H2" s="305"/>
    </row>
    <row r="3" spans="1:8" ht="15.75">
      <c r="A3" s="305" t="s">
        <v>274</v>
      </c>
      <c r="B3" s="305"/>
      <c r="C3" s="305"/>
      <c r="D3" s="305"/>
      <c r="E3" s="305"/>
      <c r="F3" s="305"/>
      <c r="G3" s="305"/>
      <c r="H3" s="305"/>
    </row>
    <row r="4" spans="1:8" ht="15.75">
      <c r="A4" s="5"/>
      <c r="B4" s="6"/>
      <c r="C4" s="6"/>
      <c r="D4" s="6"/>
      <c r="E4" s="6"/>
      <c r="F4" s="6"/>
      <c r="G4" s="6"/>
      <c r="H4" s="336"/>
    </row>
    <row r="5" spans="1:6" ht="12" customHeight="1">
      <c r="A5" s="7"/>
      <c r="B5" s="7"/>
      <c r="C5" s="7"/>
      <c r="D5" s="7"/>
      <c r="E5" s="7"/>
      <c r="F5" s="7"/>
    </row>
    <row r="6" spans="1:8" s="11" customFormat="1" ht="45">
      <c r="A6" s="8" t="s">
        <v>31</v>
      </c>
      <c r="B6" s="9" t="s">
        <v>32</v>
      </c>
      <c r="C6" s="9" t="s">
        <v>265</v>
      </c>
      <c r="D6" s="9" t="s">
        <v>33</v>
      </c>
      <c r="E6" s="9" t="s">
        <v>34</v>
      </c>
      <c r="F6" s="9" t="s">
        <v>35</v>
      </c>
      <c r="G6" s="10" t="s">
        <v>6</v>
      </c>
      <c r="H6" s="10" t="s">
        <v>7</v>
      </c>
    </row>
    <row r="7" spans="1:8" s="11" customFormat="1" ht="14.25">
      <c r="A7" s="12" t="s">
        <v>8</v>
      </c>
      <c r="B7" s="13" t="s">
        <v>8</v>
      </c>
      <c r="C7" s="13" t="s">
        <v>8</v>
      </c>
      <c r="D7" s="13" t="s">
        <v>8</v>
      </c>
      <c r="E7" s="13" t="s">
        <v>9</v>
      </c>
      <c r="F7" s="13" t="s">
        <v>10</v>
      </c>
      <c r="G7" s="13" t="s">
        <v>36</v>
      </c>
      <c r="H7" s="25"/>
    </row>
    <row r="8" spans="1:8" s="11" customFormat="1" ht="14.25">
      <c r="A8" s="12"/>
      <c r="B8" s="13"/>
      <c r="C8" s="13"/>
      <c r="D8" s="13"/>
      <c r="E8" s="13"/>
      <c r="F8" s="13"/>
      <c r="G8" s="13"/>
      <c r="H8" s="25"/>
    </row>
    <row r="9" spans="1:8" s="11" customFormat="1" ht="15">
      <c r="A9" s="15" t="s">
        <v>37</v>
      </c>
      <c r="B9" s="16">
        <v>6671631</v>
      </c>
      <c r="C9" s="17">
        <f>SDBIP!AG11</f>
        <v>3335815.5</v>
      </c>
      <c r="D9" s="16">
        <v>2941103</v>
      </c>
      <c r="E9" s="18">
        <f>C9/B9</f>
        <v>0.5</v>
      </c>
      <c r="F9" s="18">
        <f>+D9/B9</f>
        <v>0.44083718059347105</v>
      </c>
      <c r="G9" s="18">
        <f>+E9-F9</f>
        <v>0.059162819406528955</v>
      </c>
      <c r="H9" s="337" t="s">
        <v>8</v>
      </c>
    </row>
    <row r="10" spans="1:8" s="11" customFormat="1" ht="14.25" hidden="1">
      <c r="A10" s="14" t="s">
        <v>38</v>
      </c>
      <c r="B10" s="19">
        <v>2858485</v>
      </c>
      <c r="C10" s="20">
        <v>714621</v>
      </c>
      <c r="D10" s="19"/>
      <c r="E10" s="21">
        <v>0.25</v>
      </c>
      <c r="F10" s="18">
        <v>0.2269</v>
      </c>
      <c r="G10" s="18">
        <v>0.0231</v>
      </c>
      <c r="H10" s="25"/>
    </row>
    <row r="11" spans="1:8" s="11" customFormat="1" ht="14.25" hidden="1">
      <c r="A11" s="14" t="s">
        <v>39</v>
      </c>
      <c r="B11" s="19">
        <v>1419300</v>
      </c>
      <c r="C11" s="20">
        <v>354824.85</v>
      </c>
      <c r="D11" s="19"/>
      <c r="E11" s="21">
        <v>0.25</v>
      </c>
      <c r="F11" s="18">
        <v>0.1466</v>
      </c>
      <c r="G11" s="18">
        <v>0.1034</v>
      </c>
      <c r="H11" s="25"/>
    </row>
    <row r="12" spans="1:8" s="11" customFormat="1" ht="14.25" hidden="1">
      <c r="A12" s="14" t="s">
        <v>40</v>
      </c>
      <c r="B12" s="19">
        <v>17000</v>
      </c>
      <c r="C12" s="20">
        <v>4249.98</v>
      </c>
      <c r="D12" s="19"/>
      <c r="E12" s="21">
        <v>0.25</v>
      </c>
      <c r="F12" s="18">
        <v>0.0322</v>
      </c>
      <c r="G12" s="18">
        <v>0.2178</v>
      </c>
      <c r="H12" s="25"/>
    </row>
    <row r="13" spans="1:8" s="11" customFormat="1" ht="14.25" hidden="1">
      <c r="A13" s="14" t="s">
        <v>41</v>
      </c>
      <c r="B13" s="19">
        <v>10000</v>
      </c>
      <c r="C13" s="20">
        <v>2499.99</v>
      </c>
      <c r="D13" s="19"/>
      <c r="E13" s="21">
        <v>0.25</v>
      </c>
      <c r="F13" s="18">
        <v>0</v>
      </c>
      <c r="G13" s="18">
        <v>0.25</v>
      </c>
      <c r="H13" s="25"/>
    </row>
    <row r="14" spans="1:8" s="11" customFormat="1" ht="14.25" hidden="1">
      <c r="A14" s="14" t="s">
        <v>42</v>
      </c>
      <c r="B14" s="19">
        <v>160000</v>
      </c>
      <c r="C14" s="20">
        <v>39999.99</v>
      </c>
      <c r="D14" s="19"/>
      <c r="E14" s="21">
        <v>0.25</v>
      </c>
      <c r="F14" s="18">
        <v>0</v>
      </c>
      <c r="G14" s="18">
        <v>0.25</v>
      </c>
      <c r="H14" s="25"/>
    </row>
    <row r="15" spans="1:8" s="11" customFormat="1" ht="14.25">
      <c r="A15" s="14"/>
      <c r="B15" s="19" t="s">
        <v>8</v>
      </c>
      <c r="C15" s="17"/>
      <c r="D15" s="19"/>
      <c r="E15" s="21"/>
      <c r="F15" s="18"/>
      <c r="G15" s="18"/>
      <c r="H15" s="25"/>
    </row>
    <row r="16" spans="1:8" s="11" customFormat="1" ht="15">
      <c r="A16" s="22" t="s">
        <v>43</v>
      </c>
      <c r="B16" s="19">
        <v>4782057</v>
      </c>
      <c r="C16" s="17">
        <f>SDBIP!AG12</f>
        <v>2270528</v>
      </c>
      <c r="D16" s="19">
        <v>1798939</v>
      </c>
      <c r="E16" s="18">
        <f>C16/B16</f>
        <v>0.4748015341515168</v>
      </c>
      <c r="F16" s="18">
        <f>+D16/B16</f>
        <v>0.37618518558018027</v>
      </c>
      <c r="G16" s="18">
        <f>+E16-F16</f>
        <v>0.09861634857133655</v>
      </c>
      <c r="H16" s="337" t="s">
        <v>15</v>
      </c>
    </row>
    <row r="17" spans="1:8" s="11" customFormat="1" ht="14.25" hidden="1">
      <c r="A17" s="14" t="s">
        <v>38</v>
      </c>
      <c r="B17" s="19">
        <v>1245735</v>
      </c>
      <c r="C17" s="20">
        <v>311433.6</v>
      </c>
      <c r="D17" s="19"/>
      <c r="E17" s="21">
        <v>0.25</v>
      </c>
      <c r="F17" s="18">
        <v>0.1438</v>
      </c>
      <c r="G17" s="18">
        <v>0.1062</v>
      </c>
      <c r="H17" s="25"/>
    </row>
    <row r="18" spans="1:8" s="11" customFormat="1" ht="14.25" hidden="1">
      <c r="A18" s="14" t="s">
        <v>39</v>
      </c>
      <c r="B18" s="19">
        <v>559500</v>
      </c>
      <c r="C18" s="20">
        <v>139874.85</v>
      </c>
      <c r="D18" s="19"/>
      <c r="E18" s="21">
        <v>0.25</v>
      </c>
      <c r="F18" s="18">
        <v>0.8229</v>
      </c>
      <c r="G18" s="18">
        <v>-0.5729</v>
      </c>
      <c r="H18" s="25"/>
    </row>
    <row r="19" spans="1:8" s="11" customFormat="1" ht="14.25" hidden="1">
      <c r="A19" s="14" t="s">
        <v>40</v>
      </c>
      <c r="B19" s="19">
        <v>1000</v>
      </c>
      <c r="C19" s="20">
        <v>249.99</v>
      </c>
      <c r="D19" s="19"/>
      <c r="E19" s="21">
        <v>0.25</v>
      </c>
      <c r="F19" s="23">
        <v>0</v>
      </c>
      <c r="G19" s="23">
        <v>0.25</v>
      </c>
      <c r="H19" s="25"/>
    </row>
    <row r="20" spans="1:8" s="11" customFormat="1" ht="14.25" hidden="1">
      <c r="A20" s="14" t="s">
        <v>41</v>
      </c>
      <c r="B20" s="19">
        <v>20000</v>
      </c>
      <c r="C20" s="20">
        <v>4999.98</v>
      </c>
      <c r="D20" s="19"/>
      <c r="E20" s="21">
        <v>0.25</v>
      </c>
      <c r="F20" s="23">
        <v>0</v>
      </c>
      <c r="G20" s="23">
        <v>0.25</v>
      </c>
      <c r="H20" s="25"/>
    </row>
    <row r="21" spans="1:8" s="11" customFormat="1" ht="14.25">
      <c r="A21" s="14"/>
      <c r="B21" s="19" t="s">
        <v>8</v>
      </c>
      <c r="C21" s="20"/>
      <c r="D21" s="19"/>
      <c r="E21" s="21"/>
      <c r="F21" s="23"/>
      <c r="G21" s="23"/>
      <c r="H21" s="25"/>
    </row>
    <row r="22" spans="1:8" s="11" customFormat="1" ht="15">
      <c r="A22" s="22" t="s">
        <v>44</v>
      </c>
      <c r="B22" s="19">
        <v>9077151</v>
      </c>
      <c r="C22" s="17">
        <f>SDBIP!AG13</f>
        <v>4588574</v>
      </c>
      <c r="D22" s="19">
        <v>4373198</v>
      </c>
      <c r="E22" s="18">
        <f>C22/B22</f>
        <v>0.5055081710109263</v>
      </c>
      <c r="F22" s="18">
        <f>+D22/B22</f>
        <v>0.48178090239988297</v>
      </c>
      <c r="G22" s="18">
        <f>+E22-F22</f>
        <v>0.023727268611043295</v>
      </c>
      <c r="H22" s="337"/>
    </row>
    <row r="23" spans="1:8" s="11" customFormat="1" ht="14.25" hidden="1">
      <c r="A23" s="14" t="s">
        <v>38</v>
      </c>
      <c r="B23" s="19">
        <v>3126155</v>
      </c>
      <c r="C23" s="20">
        <v>781538.64</v>
      </c>
      <c r="D23" s="19"/>
      <c r="E23" s="21">
        <v>0.25</v>
      </c>
      <c r="F23" s="18">
        <v>0.165</v>
      </c>
      <c r="G23" s="18">
        <v>0.085</v>
      </c>
      <c r="H23" s="25"/>
    </row>
    <row r="24" spans="1:8" s="11" customFormat="1" ht="14.25" hidden="1">
      <c r="A24" s="14" t="s">
        <v>39</v>
      </c>
      <c r="B24" s="19">
        <v>707500</v>
      </c>
      <c r="C24" s="20">
        <v>176874.78</v>
      </c>
      <c r="D24" s="19"/>
      <c r="E24" s="21">
        <v>0.25</v>
      </c>
      <c r="F24" s="18">
        <v>0.1785</v>
      </c>
      <c r="G24" s="18">
        <v>0.0715</v>
      </c>
      <c r="H24" s="25"/>
    </row>
    <row r="25" spans="1:8" s="11" customFormat="1" ht="14.25" hidden="1">
      <c r="A25" s="14" t="s">
        <v>40</v>
      </c>
      <c r="B25" s="19">
        <v>103200</v>
      </c>
      <c r="C25" s="20">
        <v>25799.94</v>
      </c>
      <c r="D25" s="19"/>
      <c r="E25" s="21">
        <v>0.25</v>
      </c>
      <c r="F25" s="18">
        <v>0.1173</v>
      </c>
      <c r="G25" s="18">
        <v>0.1327</v>
      </c>
      <c r="H25" s="25"/>
    </row>
    <row r="26" spans="1:8" s="11" customFormat="1" ht="14.25" hidden="1">
      <c r="A26" s="14" t="s">
        <v>41</v>
      </c>
      <c r="B26" s="19">
        <v>207000</v>
      </c>
      <c r="C26" s="20">
        <v>51749.97</v>
      </c>
      <c r="D26" s="19"/>
      <c r="E26" s="21">
        <v>0.25</v>
      </c>
      <c r="F26" s="18">
        <v>0.0229</v>
      </c>
      <c r="G26" s="18">
        <v>0.2271</v>
      </c>
      <c r="H26" s="25"/>
    </row>
    <row r="27" spans="1:8" s="11" customFormat="1" ht="14.25">
      <c r="A27" s="14"/>
      <c r="B27" s="19" t="s">
        <v>8</v>
      </c>
      <c r="C27" s="20"/>
      <c r="D27" s="19"/>
      <c r="E27" s="21"/>
      <c r="F27" s="18"/>
      <c r="G27" s="18"/>
      <c r="H27" s="25"/>
    </row>
    <row r="28" spans="1:8" s="11" customFormat="1" ht="15">
      <c r="A28" s="22" t="s">
        <v>45</v>
      </c>
      <c r="B28" s="19">
        <v>4868581</v>
      </c>
      <c r="C28" s="17">
        <f>SDBIP!AG14</f>
        <v>2434290</v>
      </c>
      <c r="D28" s="19">
        <v>1461085</v>
      </c>
      <c r="E28" s="18">
        <f>C28/B28</f>
        <v>0.4999998973006714</v>
      </c>
      <c r="F28" s="18">
        <f>+D28/B28</f>
        <v>0.30010489709424576</v>
      </c>
      <c r="G28" s="18">
        <f>+E28-F28</f>
        <v>0.19989500020642564</v>
      </c>
      <c r="H28" s="337" t="s">
        <v>17</v>
      </c>
    </row>
    <row r="29" spans="1:8" s="11" customFormat="1" ht="14.25" hidden="1">
      <c r="A29" s="14" t="s">
        <v>38</v>
      </c>
      <c r="B29" s="19">
        <v>1443510</v>
      </c>
      <c r="C29" s="20">
        <v>360877.41</v>
      </c>
      <c r="D29" s="19"/>
      <c r="E29" s="21">
        <v>0.25</v>
      </c>
      <c r="F29" s="18">
        <v>0.1594</v>
      </c>
      <c r="G29" s="18">
        <v>0.0906</v>
      </c>
      <c r="H29" s="25"/>
    </row>
    <row r="30" spans="1:8" s="11" customFormat="1" ht="14.25" hidden="1">
      <c r="A30" s="14" t="s">
        <v>46</v>
      </c>
      <c r="B30" s="19">
        <v>168000</v>
      </c>
      <c r="C30" s="20">
        <v>41999.88</v>
      </c>
      <c r="D30" s="19"/>
      <c r="E30" s="21">
        <v>0.25</v>
      </c>
      <c r="F30" s="18">
        <v>0.1457</v>
      </c>
      <c r="G30" s="18">
        <v>0.1043</v>
      </c>
      <c r="H30" s="25"/>
    </row>
    <row r="31" spans="1:8" s="11" customFormat="1" ht="14.25" hidden="1">
      <c r="A31" s="14" t="s">
        <v>40</v>
      </c>
      <c r="B31" s="19">
        <v>1000</v>
      </c>
      <c r="C31" s="20">
        <v>249.99</v>
      </c>
      <c r="D31" s="19"/>
      <c r="E31" s="21">
        <v>0.25</v>
      </c>
      <c r="F31" s="23">
        <v>0</v>
      </c>
      <c r="G31" s="23">
        <v>0.25</v>
      </c>
      <c r="H31" s="25"/>
    </row>
    <row r="32" spans="1:8" s="11" customFormat="1" ht="14.25" hidden="1">
      <c r="A32" s="14" t="s">
        <v>41</v>
      </c>
      <c r="B32" s="19">
        <v>35000</v>
      </c>
      <c r="C32" s="20">
        <v>8749.98</v>
      </c>
      <c r="D32" s="19"/>
      <c r="E32" s="21">
        <v>0.25</v>
      </c>
      <c r="F32" s="23">
        <v>0</v>
      </c>
      <c r="G32" s="23">
        <v>0.25</v>
      </c>
      <c r="H32" s="25"/>
    </row>
    <row r="33" spans="1:8" s="11" customFormat="1" ht="14.25">
      <c r="A33" s="14"/>
      <c r="B33" s="19" t="s">
        <v>8</v>
      </c>
      <c r="C33" s="20"/>
      <c r="D33" s="19"/>
      <c r="E33" s="21"/>
      <c r="F33" s="23"/>
      <c r="G33" s="23"/>
      <c r="H33" s="25"/>
    </row>
    <row r="34" spans="1:8" s="11" customFormat="1" ht="15">
      <c r="A34" s="22" t="s">
        <v>47</v>
      </c>
      <c r="B34" s="19">
        <v>2926741</v>
      </c>
      <c r="C34" s="17">
        <f>SDBIP!AG15</f>
        <v>1463370</v>
      </c>
      <c r="D34" s="19">
        <v>888259</v>
      </c>
      <c r="E34" s="18">
        <f>C34/B34</f>
        <v>0.4999998291615145</v>
      </c>
      <c r="F34" s="18">
        <f>+D34/B34</f>
        <v>0.3034976446497999</v>
      </c>
      <c r="G34" s="18">
        <f>+E34-F34</f>
        <v>0.19650218451171458</v>
      </c>
      <c r="H34" s="337" t="s">
        <v>15</v>
      </c>
    </row>
    <row r="35" spans="1:8" s="11" customFormat="1" ht="14.25" hidden="1">
      <c r="A35" s="14" t="s">
        <v>38</v>
      </c>
      <c r="B35" s="19">
        <v>999265</v>
      </c>
      <c r="C35" s="20">
        <v>249816.18</v>
      </c>
      <c r="D35" s="19"/>
      <c r="E35" s="21">
        <v>0.25</v>
      </c>
      <c r="F35" s="18">
        <v>0.2427</v>
      </c>
      <c r="G35" s="18">
        <v>0.0073</v>
      </c>
      <c r="H35" s="25"/>
    </row>
    <row r="36" spans="1:8" s="11" customFormat="1" ht="14.25" hidden="1">
      <c r="A36" s="14" t="s">
        <v>39</v>
      </c>
      <c r="B36" s="19">
        <v>203000</v>
      </c>
      <c r="C36" s="20">
        <v>50749.92</v>
      </c>
      <c r="D36" s="19"/>
      <c r="E36" s="21">
        <v>0.25</v>
      </c>
      <c r="F36" s="18">
        <v>0.1357</v>
      </c>
      <c r="G36" s="18">
        <v>0.1143</v>
      </c>
      <c r="H36" s="25"/>
    </row>
    <row r="37" spans="1:8" s="11" customFormat="1" ht="14.25" hidden="1">
      <c r="A37" s="14" t="s">
        <v>40</v>
      </c>
      <c r="B37" s="19">
        <v>1000</v>
      </c>
      <c r="C37" s="20">
        <v>249.99</v>
      </c>
      <c r="D37" s="19"/>
      <c r="E37" s="21">
        <v>0.25</v>
      </c>
      <c r="F37" s="23">
        <v>0</v>
      </c>
      <c r="G37" s="23">
        <v>0.25</v>
      </c>
      <c r="H37" s="25"/>
    </row>
    <row r="38" spans="1:8" s="11" customFormat="1" ht="14.25" hidden="1">
      <c r="A38" s="14" t="s">
        <v>41</v>
      </c>
      <c r="B38" s="19">
        <v>20000</v>
      </c>
      <c r="C38" s="20">
        <v>4999.98</v>
      </c>
      <c r="D38" s="19"/>
      <c r="E38" s="21">
        <v>0.25</v>
      </c>
      <c r="F38" s="23">
        <v>0</v>
      </c>
      <c r="G38" s="23">
        <v>0.25</v>
      </c>
      <c r="H38" s="25"/>
    </row>
    <row r="39" spans="1:8" s="11" customFormat="1" ht="14.25">
      <c r="A39" s="14"/>
      <c r="B39" s="19" t="s">
        <v>8</v>
      </c>
      <c r="C39" s="20"/>
      <c r="D39" s="19"/>
      <c r="E39" s="21"/>
      <c r="F39" s="23"/>
      <c r="G39" s="23"/>
      <c r="H39" s="25"/>
    </row>
    <row r="40" spans="1:8" s="11" customFormat="1" ht="15">
      <c r="A40" s="22" t="s">
        <v>48</v>
      </c>
      <c r="B40" s="19">
        <v>11426880</v>
      </c>
      <c r="C40" s="17">
        <f>SDBIP!AG16</f>
        <v>5708440</v>
      </c>
      <c r="D40" s="19">
        <v>4754662</v>
      </c>
      <c r="E40" s="18">
        <f>C40/B40</f>
        <v>0.4995624352404156</v>
      </c>
      <c r="F40" s="18">
        <f>+D40/B40</f>
        <v>0.4160945069870341</v>
      </c>
      <c r="G40" s="18">
        <f>+E40-F40</f>
        <v>0.08346792825338151</v>
      </c>
      <c r="H40" s="337"/>
    </row>
    <row r="41" spans="1:8" s="11" customFormat="1" ht="14.25" hidden="1">
      <c r="A41" s="14" t="s">
        <v>38</v>
      </c>
      <c r="B41" s="19">
        <v>1894725</v>
      </c>
      <c r="C41" s="20">
        <v>473681.1</v>
      </c>
      <c r="D41" s="19"/>
      <c r="E41" s="21">
        <v>0.25</v>
      </c>
      <c r="F41" s="18">
        <v>0.1384</v>
      </c>
      <c r="G41" s="18">
        <v>0.1116</v>
      </c>
      <c r="H41" s="25"/>
    </row>
    <row r="42" spans="1:8" s="11" customFormat="1" ht="14.25" hidden="1">
      <c r="A42" s="14" t="s">
        <v>49</v>
      </c>
      <c r="B42" s="19">
        <v>2071535</v>
      </c>
      <c r="C42" s="20">
        <v>517883.64</v>
      </c>
      <c r="D42" s="19"/>
      <c r="E42" s="21">
        <v>0.25</v>
      </c>
      <c r="F42" s="18">
        <v>0.2116</v>
      </c>
      <c r="G42" s="18">
        <v>0.0384</v>
      </c>
      <c r="H42" s="25"/>
    </row>
    <row r="43" spans="1:8" s="11" customFormat="1" ht="14.25" hidden="1">
      <c r="A43" s="14" t="s">
        <v>39</v>
      </c>
      <c r="B43" s="19">
        <v>1700000</v>
      </c>
      <c r="C43" s="20">
        <v>424999.77</v>
      </c>
      <c r="D43" s="19"/>
      <c r="E43" s="21">
        <v>0.25</v>
      </c>
      <c r="F43" s="18">
        <v>0.1285</v>
      </c>
      <c r="G43" s="18">
        <v>0.1215</v>
      </c>
      <c r="H43" s="25"/>
    </row>
    <row r="44" spans="1:8" s="11" customFormat="1" ht="14.25" hidden="1">
      <c r="A44" s="14" t="s">
        <v>40</v>
      </c>
      <c r="B44" s="19">
        <v>8000</v>
      </c>
      <c r="C44" s="20">
        <v>1999.98</v>
      </c>
      <c r="D44" s="19"/>
      <c r="E44" s="21">
        <v>0.25</v>
      </c>
      <c r="F44" s="18">
        <v>0.1592</v>
      </c>
      <c r="G44" s="18">
        <v>0.0908</v>
      </c>
      <c r="H44" s="25"/>
    </row>
    <row r="45" spans="1:8" s="11" customFormat="1" ht="14.25" hidden="1">
      <c r="A45" s="14" t="s">
        <v>41</v>
      </c>
      <c r="B45" s="19">
        <v>507000</v>
      </c>
      <c r="C45" s="20">
        <v>126749.97</v>
      </c>
      <c r="D45" s="19"/>
      <c r="E45" s="21">
        <v>0.25</v>
      </c>
      <c r="F45" s="23">
        <v>0</v>
      </c>
      <c r="G45" s="23">
        <v>0.25</v>
      </c>
      <c r="H45" s="25"/>
    </row>
    <row r="46" spans="1:8" s="11" customFormat="1" ht="14.25">
      <c r="A46" s="14"/>
      <c r="B46" s="19" t="s">
        <v>8</v>
      </c>
      <c r="C46" s="20"/>
      <c r="D46" s="19"/>
      <c r="E46" s="21"/>
      <c r="F46" s="23"/>
      <c r="G46" s="23"/>
      <c r="H46" s="25"/>
    </row>
    <row r="47" spans="1:9" s="11" customFormat="1" ht="15">
      <c r="A47" s="22" t="s">
        <v>50</v>
      </c>
      <c r="B47" s="19">
        <v>2308285</v>
      </c>
      <c r="C47" s="17">
        <f>SDBIP!AG17</f>
        <v>1154142</v>
      </c>
      <c r="D47" s="19">
        <v>1385262</v>
      </c>
      <c r="E47" s="18">
        <f>C47/B47</f>
        <v>0.4999997833889663</v>
      </c>
      <c r="F47" s="18">
        <f>+D47/B47</f>
        <v>0.6001260676216326</v>
      </c>
      <c r="G47" s="18">
        <f>+E47-F47</f>
        <v>-0.10012628423266628</v>
      </c>
      <c r="H47" s="337" t="s">
        <v>19</v>
      </c>
      <c r="I47" s="24"/>
    </row>
    <row r="48" spans="1:8" s="11" customFormat="1" ht="14.25" hidden="1">
      <c r="A48" s="14" t="s">
        <v>38</v>
      </c>
      <c r="B48" s="19">
        <v>1647725</v>
      </c>
      <c r="C48" s="20">
        <v>411931.14</v>
      </c>
      <c r="D48" s="20"/>
      <c r="E48" s="21">
        <v>0.25</v>
      </c>
      <c r="F48" s="18">
        <v>0.1951</v>
      </c>
      <c r="G48" s="18">
        <v>0.0549</v>
      </c>
      <c r="H48" s="25"/>
    </row>
    <row r="49" spans="1:8" s="11" customFormat="1" ht="14.25" hidden="1">
      <c r="A49" s="14" t="s">
        <v>39</v>
      </c>
      <c r="B49" s="19">
        <v>278000</v>
      </c>
      <c r="C49" s="20">
        <v>69499.92</v>
      </c>
      <c r="D49" s="20"/>
      <c r="E49" s="21">
        <v>0.25</v>
      </c>
      <c r="F49" s="18">
        <v>0.0766</v>
      </c>
      <c r="G49" s="18">
        <v>0.1734</v>
      </c>
      <c r="H49" s="25"/>
    </row>
    <row r="50" spans="1:8" s="11" customFormat="1" ht="14.25" hidden="1">
      <c r="A50" s="25" t="s">
        <v>40</v>
      </c>
      <c r="B50" s="20">
        <v>2000</v>
      </c>
      <c r="C50" s="20">
        <v>499.98</v>
      </c>
      <c r="D50" s="20"/>
      <c r="E50" s="21">
        <v>0.25</v>
      </c>
      <c r="F50" s="23">
        <v>0</v>
      </c>
      <c r="G50" s="23">
        <v>0.25</v>
      </c>
      <c r="H50" s="25"/>
    </row>
    <row r="51" spans="1:8" s="11" customFormat="1" ht="14.25" hidden="1">
      <c r="A51" s="25" t="s">
        <v>41</v>
      </c>
      <c r="B51" s="20">
        <v>20000</v>
      </c>
      <c r="C51" s="20">
        <v>4999.98</v>
      </c>
      <c r="D51" s="20"/>
      <c r="E51" s="21">
        <v>0.25</v>
      </c>
      <c r="F51" s="23">
        <v>0</v>
      </c>
      <c r="G51" s="23">
        <v>0.25</v>
      </c>
      <c r="H51" s="25"/>
    </row>
    <row r="52" spans="1:8" s="11" customFormat="1" ht="14.25">
      <c r="A52" s="25"/>
      <c r="B52" s="20" t="s">
        <v>8</v>
      </c>
      <c r="C52" s="20"/>
      <c r="D52" s="20"/>
      <c r="E52" s="21"/>
      <c r="F52" s="23"/>
      <c r="G52" s="23"/>
      <c r="H52" s="25"/>
    </row>
    <row r="53" spans="1:8" s="11" customFormat="1" ht="15">
      <c r="A53" s="26" t="s">
        <v>25</v>
      </c>
      <c r="B53" s="20">
        <v>5610320</v>
      </c>
      <c r="C53" s="17">
        <f>SDBIP!AG18</f>
        <v>2805162</v>
      </c>
      <c r="D53" s="20">
        <v>1288403</v>
      </c>
      <c r="E53" s="18">
        <f>C53/B53</f>
        <v>0.5000003564859046</v>
      </c>
      <c r="F53" s="18">
        <f>+D53/B53</f>
        <v>0.2296487544382495</v>
      </c>
      <c r="G53" s="18">
        <f>+E53-F53</f>
        <v>0.27035160204765507</v>
      </c>
      <c r="H53" s="337" t="s">
        <v>23</v>
      </c>
    </row>
    <row r="54" spans="1:8" s="11" customFormat="1" ht="14.25" hidden="1">
      <c r="A54" s="25" t="s">
        <v>51</v>
      </c>
      <c r="B54" s="20">
        <v>254000</v>
      </c>
      <c r="C54" s="20">
        <v>63500</v>
      </c>
      <c r="D54" s="20"/>
      <c r="E54" s="21">
        <v>0.25</v>
      </c>
      <c r="F54" s="23">
        <v>0</v>
      </c>
      <c r="G54" s="23">
        <v>0.25</v>
      </c>
      <c r="H54" s="25"/>
    </row>
    <row r="55" spans="1:8" s="11" customFormat="1" ht="14.25" hidden="1">
      <c r="A55" s="25" t="s">
        <v>52</v>
      </c>
      <c r="B55" s="20">
        <v>319000</v>
      </c>
      <c r="C55" s="20">
        <v>79750</v>
      </c>
      <c r="D55" s="20"/>
      <c r="E55" s="21">
        <v>0.25</v>
      </c>
      <c r="F55" s="18">
        <f>+D55/B55</f>
        <v>0</v>
      </c>
      <c r="G55" s="18">
        <f>+E55-F55</f>
        <v>0.25</v>
      </c>
      <c r="H55" s="25"/>
    </row>
    <row r="56" spans="1:8" s="11" customFormat="1" ht="14.25" hidden="1">
      <c r="A56" s="25" t="s">
        <v>53</v>
      </c>
      <c r="B56" s="20">
        <v>340000</v>
      </c>
      <c r="C56" s="20">
        <v>85000</v>
      </c>
      <c r="D56" s="20"/>
      <c r="E56" s="21">
        <v>0.25</v>
      </c>
      <c r="F56" s="18">
        <f>+D56/B56</f>
        <v>0</v>
      </c>
      <c r="G56" s="18">
        <f>+E56-F56</f>
        <v>0.25</v>
      </c>
      <c r="H56" s="25"/>
    </row>
    <row r="57" spans="1:8" s="11" customFormat="1" ht="14.25" hidden="1">
      <c r="A57" s="25" t="s">
        <v>54</v>
      </c>
      <c r="B57" s="20">
        <v>1606285</v>
      </c>
      <c r="C57" s="20">
        <v>401571</v>
      </c>
      <c r="D57" s="20"/>
      <c r="E57" s="21">
        <v>0.25</v>
      </c>
      <c r="F57" s="18">
        <f>+D57/B57</f>
        <v>0</v>
      </c>
      <c r="G57" s="18">
        <f>+E57-F57</f>
        <v>0.25</v>
      </c>
      <c r="H57" s="25"/>
    </row>
    <row r="58" spans="1:8" s="11" customFormat="1" ht="14.25" hidden="1">
      <c r="A58" s="25" t="s">
        <v>55</v>
      </c>
      <c r="B58" s="20">
        <v>222480</v>
      </c>
      <c r="C58" s="20">
        <v>55620</v>
      </c>
      <c r="D58" s="20"/>
      <c r="E58" s="21">
        <v>0.25</v>
      </c>
      <c r="F58" s="23">
        <v>0</v>
      </c>
      <c r="G58" s="23">
        <v>0.25</v>
      </c>
      <c r="H58" s="25"/>
    </row>
    <row r="59" spans="1:8" s="11" customFormat="1" ht="14.25" hidden="1">
      <c r="A59" s="25" t="s">
        <v>56</v>
      </c>
      <c r="B59" s="20">
        <v>110200</v>
      </c>
      <c r="C59" s="20">
        <v>27550</v>
      </c>
      <c r="D59" s="20"/>
      <c r="E59" s="21">
        <v>0.25</v>
      </c>
      <c r="F59" s="23">
        <v>0</v>
      </c>
      <c r="G59" s="23">
        <v>0.25</v>
      </c>
      <c r="H59" s="25"/>
    </row>
    <row r="60" spans="1:8" s="11" customFormat="1" ht="14.25">
      <c r="A60" s="25"/>
      <c r="B60" s="20" t="s">
        <v>8</v>
      </c>
      <c r="C60" s="20"/>
      <c r="D60" s="20"/>
      <c r="E60" s="21"/>
      <c r="F60" s="23"/>
      <c r="G60" s="23"/>
      <c r="H60" s="25"/>
    </row>
    <row r="61" spans="1:8" s="11" customFormat="1" ht="15">
      <c r="A61" s="26" t="s">
        <v>57</v>
      </c>
      <c r="B61" s="20">
        <v>10088128</v>
      </c>
      <c r="C61" s="17">
        <f>SDBIP!AG19</f>
        <v>5044062</v>
      </c>
      <c r="D61" s="27">
        <v>3608374</v>
      </c>
      <c r="E61" s="18">
        <f>C61/B61</f>
        <v>0.49999980174716263</v>
      </c>
      <c r="F61" s="18">
        <f>+D61/B61</f>
        <v>0.35768519194046705</v>
      </c>
      <c r="G61" s="18">
        <f>+E61-F61</f>
        <v>0.14231460980669558</v>
      </c>
      <c r="H61" s="337" t="s">
        <v>27</v>
      </c>
    </row>
    <row r="62" spans="1:8" s="11" customFormat="1" ht="14.25" hidden="1">
      <c r="A62" s="25"/>
      <c r="B62" s="20" t="s">
        <v>8</v>
      </c>
      <c r="C62" s="20"/>
      <c r="D62" s="20"/>
      <c r="E62" s="21"/>
      <c r="F62" s="23"/>
      <c r="G62" s="23"/>
      <c r="H62" s="25"/>
    </row>
    <row r="63" spans="1:8" s="11" customFormat="1" ht="15" hidden="1">
      <c r="A63" s="26"/>
      <c r="B63" s="20"/>
      <c r="C63" s="17"/>
      <c r="D63" s="20"/>
      <c r="E63" s="18"/>
      <c r="F63" s="18"/>
      <c r="G63" s="18"/>
      <c r="H63" s="337"/>
    </row>
    <row r="64" spans="1:8" s="11" customFormat="1" ht="14.25" hidden="1">
      <c r="A64" s="25" t="s">
        <v>38</v>
      </c>
      <c r="B64" s="20">
        <v>872685</v>
      </c>
      <c r="C64" s="20">
        <v>218171.19</v>
      </c>
      <c r="D64" s="20"/>
      <c r="E64" s="21">
        <v>0.25</v>
      </c>
      <c r="F64" s="18">
        <v>0.12</v>
      </c>
      <c r="G64" s="18">
        <v>0.13</v>
      </c>
      <c r="H64" s="25"/>
    </row>
    <row r="65" spans="1:8" s="11" customFormat="1" ht="14.25" hidden="1">
      <c r="A65" s="25" t="s">
        <v>39</v>
      </c>
      <c r="B65" s="20">
        <v>2027315</v>
      </c>
      <c r="C65" s="20">
        <v>506828.64</v>
      </c>
      <c r="D65" s="20"/>
      <c r="E65" s="21">
        <v>0.25</v>
      </c>
      <c r="F65" s="18">
        <v>0.0092</v>
      </c>
      <c r="G65" s="18">
        <v>0.2408</v>
      </c>
      <c r="H65" s="25"/>
    </row>
    <row r="66" spans="1:8" s="11" customFormat="1" ht="14.25" hidden="1">
      <c r="A66" s="25" t="s">
        <v>40</v>
      </c>
      <c r="B66" s="20">
        <v>30000</v>
      </c>
      <c r="C66" s="20">
        <v>7499.97</v>
      </c>
      <c r="D66" s="20"/>
      <c r="E66" s="21">
        <v>0.25</v>
      </c>
      <c r="F66" s="18">
        <v>0.0808</v>
      </c>
      <c r="G66" s="18">
        <v>0.1692</v>
      </c>
      <c r="H66" s="25"/>
    </row>
    <row r="67" spans="1:8" s="11" customFormat="1" ht="14.25" hidden="1">
      <c r="A67" s="25" t="s">
        <v>41</v>
      </c>
      <c r="B67" s="20">
        <v>220000</v>
      </c>
      <c r="C67" s="20">
        <v>54999.96</v>
      </c>
      <c r="D67" s="20"/>
      <c r="E67" s="21">
        <v>0.25</v>
      </c>
      <c r="F67" s="23">
        <v>0</v>
      </c>
      <c r="G67" s="23">
        <v>0.25</v>
      </c>
      <c r="H67" s="25"/>
    </row>
    <row r="68" spans="1:8" s="11" customFormat="1" ht="14.25">
      <c r="A68" s="25"/>
      <c r="B68" s="20" t="s">
        <v>8</v>
      </c>
      <c r="C68" s="20" t="s">
        <v>255</v>
      </c>
      <c r="D68" s="20"/>
      <c r="E68" s="21"/>
      <c r="F68" s="23"/>
      <c r="G68" s="23"/>
      <c r="H68" s="25"/>
    </row>
    <row r="69" spans="1:8" s="11" customFormat="1" ht="15">
      <c r="A69" s="26" t="s">
        <v>58</v>
      </c>
      <c r="B69" s="20">
        <v>3062705</v>
      </c>
      <c r="C69" s="17">
        <f>SDBIP!AG20</f>
        <v>1531350</v>
      </c>
      <c r="D69" s="20">
        <v>1223229</v>
      </c>
      <c r="E69" s="18">
        <f>C69/B69</f>
        <v>0.49999918372810964</v>
      </c>
      <c r="F69" s="18">
        <f>+D69/B69</f>
        <v>0.3993949792748567</v>
      </c>
      <c r="G69" s="28">
        <f>+E69-F69</f>
        <v>0.10060420445325297</v>
      </c>
      <c r="H69" s="337" t="s">
        <v>256</v>
      </c>
    </row>
    <row r="70" spans="1:8" s="11" customFormat="1" ht="14.25" hidden="1">
      <c r="A70" s="25" t="s">
        <v>38</v>
      </c>
      <c r="B70" s="20">
        <v>1295270</v>
      </c>
      <c r="C70" s="20">
        <v>323817.39</v>
      </c>
      <c r="D70" s="20">
        <v>312818.59</v>
      </c>
      <c r="E70" s="21">
        <v>0.25</v>
      </c>
      <c r="F70" s="18">
        <v>0.2415</v>
      </c>
      <c r="G70" s="18">
        <v>0.0085</v>
      </c>
      <c r="H70" s="25"/>
    </row>
    <row r="71" spans="1:8" s="11" customFormat="1" ht="14.25" hidden="1">
      <c r="A71" s="25" t="s">
        <v>39</v>
      </c>
      <c r="B71" s="20">
        <v>385400</v>
      </c>
      <c r="C71" s="20">
        <v>96349.83</v>
      </c>
      <c r="D71" s="20">
        <v>64853.83</v>
      </c>
      <c r="E71" s="21">
        <v>0.25</v>
      </c>
      <c r="F71" s="18">
        <v>0.1682</v>
      </c>
      <c r="G71" s="18">
        <v>0.0818</v>
      </c>
      <c r="H71" s="25"/>
    </row>
    <row r="72" spans="1:8" s="11" customFormat="1" ht="14.25" hidden="1">
      <c r="A72" s="25" t="s">
        <v>40</v>
      </c>
      <c r="B72" s="20">
        <v>106000</v>
      </c>
      <c r="C72" s="20">
        <v>26499.96</v>
      </c>
      <c r="D72" s="20">
        <v>14261.99</v>
      </c>
      <c r="E72" s="21">
        <v>0.25</v>
      </c>
      <c r="F72" s="18">
        <v>0.1345</v>
      </c>
      <c r="G72" s="18">
        <v>0.1155</v>
      </c>
      <c r="H72" s="25"/>
    </row>
    <row r="73" spans="1:8" s="11" customFormat="1" ht="14.25" hidden="1">
      <c r="A73" s="25" t="s">
        <v>41</v>
      </c>
      <c r="B73" s="20">
        <v>60000</v>
      </c>
      <c r="C73" s="20">
        <v>15000</v>
      </c>
      <c r="D73" s="20">
        <v>0</v>
      </c>
      <c r="E73" s="21">
        <v>0.25</v>
      </c>
      <c r="F73" s="23">
        <v>0</v>
      </c>
      <c r="G73" s="23">
        <v>0.25</v>
      </c>
      <c r="H73" s="25"/>
    </row>
    <row r="74" spans="1:8" s="11" customFormat="1" ht="14.25">
      <c r="A74" s="25"/>
      <c r="B74" s="19" t="s">
        <v>8</v>
      </c>
      <c r="C74" s="19"/>
      <c r="D74" s="19"/>
      <c r="E74" s="21"/>
      <c r="F74" s="18"/>
      <c r="G74" s="18"/>
      <c r="H74" s="25"/>
    </row>
    <row r="75" spans="1:8" s="32" customFormat="1" ht="15">
      <c r="A75" s="26" t="s">
        <v>59</v>
      </c>
      <c r="B75" s="29">
        <f>+B9+B16+B22+B28+B34+B40+B47+B53+B61+B69</f>
        <v>60822479</v>
      </c>
      <c r="C75" s="30">
        <f>+C9+C16+C22+C28+C34+C40+C47+C53+C61+C69</f>
        <v>30335733.5</v>
      </c>
      <c r="D75" s="30">
        <f>+D9+D16+D22+D28+D34+D40+D47+D53+D61+D69</f>
        <v>23722514</v>
      </c>
      <c r="E75" s="31">
        <f>C75/B75</f>
        <v>0.4987585839768221</v>
      </c>
      <c r="F75" s="31">
        <f>+D75/B75</f>
        <v>0.39002872605702243</v>
      </c>
      <c r="G75" s="31">
        <f>+E75-F75</f>
        <v>0.10872985791979967</v>
      </c>
      <c r="H75" s="26"/>
    </row>
    <row r="76" spans="1:8" s="11" customFormat="1" ht="14.25">
      <c r="A76" s="25"/>
      <c r="B76" s="20"/>
      <c r="C76" s="20"/>
      <c r="D76" s="20"/>
      <c r="E76" s="23"/>
      <c r="F76" s="18"/>
      <c r="G76" s="18"/>
      <c r="H76" s="25"/>
    </row>
    <row r="77" spans="1:8" s="11" customFormat="1" ht="14.25">
      <c r="A77" s="14"/>
      <c r="B77" s="33"/>
      <c r="C77" s="33"/>
      <c r="D77" s="33"/>
      <c r="E77" s="14"/>
      <c r="F77" s="12"/>
      <c r="G77" s="12"/>
      <c r="H77" s="25"/>
    </row>
    <row r="78" s="11" customFormat="1" ht="14.25">
      <c r="H78" s="338"/>
    </row>
    <row r="79" s="11" customFormat="1" ht="14.25">
      <c r="H79" s="338"/>
    </row>
    <row r="80" s="11" customFormat="1" ht="14.25">
      <c r="H80" s="338"/>
    </row>
    <row r="81" s="11" customFormat="1" ht="14.25">
      <c r="H81" s="338"/>
    </row>
    <row r="82" s="11" customFormat="1" ht="14.25">
      <c r="H82" s="338"/>
    </row>
    <row r="83" s="11" customFormat="1" ht="14.25">
      <c r="H83" s="338"/>
    </row>
    <row r="84" s="11" customFormat="1" ht="14.25">
      <c r="H84" s="338"/>
    </row>
    <row r="85" s="11" customFormat="1" ht="14.25">
      <c r="H85" s="338"/>
    </row>
    <row r="86" s="11" customFormat="1" ht="14.25">
      <c r="H86" s="338"/>
    </row>
    <row r="87" s="11" customFormat="1" ht="14.25">
      <c r="H87" s="338"/>
    </row>
  </sheetData>
  <sheetProtection/>
  <mergeCells count="3">
    <mergeCell ref="A1:H1"/>
    <mergeCell ref="A2:H2"/>
    <mergeCell ref="A3:H3"/>
  </mergeCells>
  <printOptions/>
  <pageMargins left="0.15763888888888888" right="0.15763888888888888" top="0.5902777777777778" bottom="0.5902777777777778" header="0.5118055555555556" footer="0.5118055555555556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11.421875" style="6" customWidth="1"/>
    <col min="2" max="2" width="46.57421875" style="0" customWidth="1"/>
    <col min="3" max="4" width="12.7109375" style="0" customWidth="1"/>
    <col min="5" max="5" width="12.140625" style="0" customWidth="1"/>
  </cols>
  <sheetData>
    <row r="1" spans="1:5" ht="18">
      <c r="A1" s="304" t="s">
        <v>60</v>
      </c>
      <c r="B1" s="304"/>
      <c r="C1" s="304"/>
      <c r="D1" s="304"/>
      <c r="E1" s="304"/>
    </row>
    <row r="2" spans="1:5" ht="15.75">
      <c r="A2" s="305" t="s">
        <v>61</v>
      </c>
      <c r="B2" s="305"/>
      <c r="C2" s="305"/>
      <c r="D2" s="305"/>
      <c r="E2" s="305"/>
    </row>
    <row r="3" spans="1:8" ht="15.75">
      <c r="A3" s="305" t="s">
        <v>264</v>
      </c>
      <c r="B3" s="305"/>
      <c r="C3" s="305"/>
      <c r="D3" s="305"/>
      <c r="E3" s="305"/>
      <c r="F3" s="34"/>
      <c r="G3" s="34"/>
      <c r="H3" s="34"/>
    </row>
    <row r="4" spans="2:4" ht="12.75">
      <c r="B4" s="1"/>
      <c r="C4" s="1"/>
      <c r="D4" s="1"/>
    </row>
    <row r="6" spans="1:5" ht="45">
      <c r="A6" s="9" t="s">
        <v>62</v>
      </c>
      <c r="B6" s="9" t="s">
        <v>63</v>
      </c>
      <c r="C6" s="9" t="s">
        <v>64</v>
      </c>
      <c r="D6" s="9" t="s">
        <v>65</v>
      </c>
      <c r="E6" s="9" t="s">
        <v>66</v>
      </c>
    </row>
    <row r="7" spans="1:5" ht="14.25" hidden="1">
      <c r="A7" s="13"/>
      <c r="B7" s="35"/>
      <c r="C7" s="35"/>
      <c r="D7" s="35"/>
      <c r="E7" s="14"/>
    </row>
    <row r="8" spans="1:5" ht="14.25" hidden="1">
      <c r="A8" s="12"/>
      <c r="B8" s="14"/>
      <c r="C8" s="14"/>
      <c r="D8" s="14"/>
      <c r="E8" s="14"/>
    </row>
    <row r="9" spans="1:5" ht="14.25" hidden="1">
      <c r="A9" s="12"/>
      <c r="B9" s="14"/>
      <c r="C9" s="19"/>
      <c r="D9" s="19"/>
      <c r="E9" s="18"/>
    </row>
    <row r="10" spans="1:5" ht="14.25">
      <c r="A10" s="12"/>
      <c r="B10" s="14"/>
      <c r="C10" s="19"/>
      <c r="D10" s="19"/>
      <c r="E10" s="14"/>
    </row>
    <row r="11" spans="1:5" ht="14.25">
      <c r="A11" s="12" t="s">
        <v>67</v>
      </c>
      <c r="B11" s="14" t="s">
        <v>68</v>
      </c>
      <c r="C11" s="19">
        <v>6100000</v>
      </c>
      <c r="D11" s="19">
        <v>5100000</v>
      </c>
      <c r="E11" s="18">
        <f>+D11/C11</f>
        <v>0.8360655737704918</v>
      </c>
    </row>
    <row r="12" spans="1:5" ht="14.25">
      <c r="A12" s="12"/>
      <c r="B12" s="14"/>
      <c r="C12" s="19"/>
      <c r="D12" s="19" t="s">
        <v>8</v>
      </c>
      <c r="E12" s="14"/>
    </row>
    <row r="13" spans="1:5" ht="14.25">
      <c r="A13" s="12" t="s">
        <v>69</v>
      </c>
      <c r="B13" s="14" t="s">
        <v>70</v>
      </c>
      <c r="C13" s="19">
        <v>5530000</v>
      </c>
      <c r="D13" s="19">
        <v>2266423</v>
      </c>
      <c r="E13" s="18">
        <f>+D13/C13</f>
        <v>0.4098414104882459</v>
      </c>
    </row>
    <row r="14" spans="1:5" ht="14.25">
      <c r="A14" s="12"/>
      <c r="B14" s="14"/>
      <c r="C14" s="19"/>
      <c r="D14" s="19"/>
      <c r="E14" s="18"/>
    </row>
    <row r="15" spans="1:5" ht="14.25">
      <c r="A15" s="12" t="s">
        <v>71</v>
      </c>
      <c r="B15" s="14" t="s">
        <v>72</v>
      </c>
      <c r="C15" s="19">
        <v>357000</v>
      </c>
      <c r="D15" s="19">
        <v>17955</v>
      </c>
      <c r="E15" s="18">
        <f>+D15/C15</f>
        <v>0.05029411764705882</v>
      </c>
    </row>
    <row r="16" spans="1:5" ht="14.25">
      <c r="A16" s="12"/>
      <c r="B16" s="14"/>
      <c r="C16" s="19"/>
      <c r="D16" s="19"/>
      <c r="E16" s="14"/>
    </row>
    <row r="17" spans="1:5" ht="14.25">
      <c r="A17" s="12" t="s">
        <v>73</v>
      </c>
      <c r="B17" s="14" t="s">
        <v>74</v>
      </c>
      <c r="C17" s="19">
        <v>1250000</v>
      </c>
      <c r="D17" s="19">
        <v>296769</v>
      </c>
      <c r="E17" s="18">
        <f>+D17/C17</f>
        <v>0.2374152</v>
      </c>
    </row>
    <row r="18" spans="1:5" ht="14.25">
      <c r="A18" s="12"/>
      <c r="B18" s="14"/>
      <c r="C18" s="19"/>
      <c r="D18" s="19"/>
      <c r="E18" s="14"/>
    </row>
    <row r="19" spans="1:5" ht="14.25">
      <c r="A19" s="12" t="s">
        <v>75</v>
      </c>
      <c r="B19" s="14" t="s">
        <v>76</v>
      </c>
      <c r="C19" s="19">
        <v>500000</v>
      </c>
      <c r="D19" s="19">
        <v>3891</v>
      </c>
      <c r="E19" s="18">
        <f>+D19/C19</f>
        <v>0.007782</v>
      </c>
    </row>
    <row r="20" spans="1:5" ht="14.25">
      <c r="A20" s="12"/>
      <c r="B20" s="14"/>
      <c r="C20" s="19"/>
      <c r="D20" s="19"/>
      <c r="E20" s="14"/>
    </row>
    <row r="21" spans="1:5" ht="14.25">
      <c r="A21" s="12" t="s">
        <v>77</v>
      </c>
      <c r="B21" s="14" t="s">
        <v>78</v>
      </c>
      <c r="C21" s="19">
        <v>500000</v>
      </c>
      <c r="D21" s="19">
        <v>3892</v>
      </c>
      <c r="E21" s="18">
        <f>+D21/C21</f>
        <v>0.007784</v>
      </c>
    </row>
    <row r="22" spans="1:5" ht="14.25">
      <c r="A22" s="12"/>
      <c r="B22" s="14"/>
      <c r="C22" s="19"/>
      <c r="D22" s="19"/>
      <c r="E22" s="14"/>
    </row>
    <row r="23" spans="1:5" ht="14.25">
      <c r="A23" s="12" t="s">
        <v>79</v>
      </c>
      <c r="B23" s="14" t="s">
        <v>80</v>
      </c>
      <c r="C23" s="19">
        <v>3000000</v>
      </c>
      <c r="D23" s="19">
        <v>0</v>
      </c>
      <c r="E23" s="18">
        <f>+D23/C23</f>
        <v>0</v>
      </c>
    </row>
    <row r="24" spans="1:5" ht="14.25">
      <c r="A24" s="12"/>
      <c r="B24" s="14"/>
      <c r="C24" s="19"/>
      <c r="D24" s="19"/>
      <c r="E24" s="14"/>
    </row>
    <row r="25" spans="1:5" ht="14.25">
      <c r="A25" s="12" t="s">
        <v>81</v>
      </c>
      <c r="B25" s="14" t="s">
        <v>82</v>
      </c>
      <c r="C25" s="19">
        <v>950000</v>
      </c>
      <c r="D25" s="19">
        <v>649525</v>
      </c>
      <c r="E25" s="18">
        <f>+D25/C25</f>
        <v>0.6837105263157894</v>
      </c>
    </row>
    <row r="26" spans="1:5" ht="14.25">
      <c r="A26" s="12"/>
      <c r="B26" s="14"/>
      <c r="C26" s="19"/>
      <c r="D26" s="19"/>
      <c r="E26" s="14"/>
    </row>
    <row r="27" spans="1:5" ht="14.25">
      <c r="A27" s="12" t="s">
        <v>83</v>
      </c>
      <c r="B27" s="14" t="s">
        <v>84</v>
      </c>
      <c r="C27" s="19">
        <v>5600000</v>
      </c>
      <c r="D27" s="19">
        <v>154265</v>
      </c>
      <c r="E27" s="18">
        <f>+D27/C27</f>
        <v>0.027547321428571428</v>
      </c>
    </row>
    <row r="28" spans="1:5" ht="14.25">
      <c r="A28" s="12"/>
      <c r="B28" s="14"/>
      <c r="C28" s="19"/>
      <c r="D28" s="19"/>
      <c r="E28" s="14"/>
    </row>
    <row r="29" spans="1:5" ht="14.25">
      <c r="A29" s="12" t="s">
        <v>85</v>
      </c>
      <c r="B29" s="14" t="s">
        <v>86</v>
      </c>
      <c r="C29" s="19">
        <v>950000</v>
      </c>
      <c r="D29" s="19">
        <v>0</v>
      </c>
      <c r="E29" s="18">
        <f>+D29/C29</f>
        <v>0</v>
      </c>
    </row>
    <row r="30" spans="1:8" ht="14.25">
      <c r="A30" s="12"/>
      <c r="B30" s="14"/>
      <c r="C30" s="19"/>
      <c r="D30" s="19"/>
      <c r="E30" s="18"/>
      <c r="H30" t="s">
        <v>8</v>
      </c>
    </row>
    <row r="31" spans="1:5" ht="14.25">
      <c r="A31" s="12"/>
      <c r="B31" s="14"/>
      <c r="C31" s="19"/>
      <c r="D31" s="19"/>
      <c r="E31" s="14"/>
    </row>
    <row r="32" spans="1:5" ht="14.25">
      <c r="A32" s="12"/>
      <c r="B32" s="14"/>
      <c r="C32" s="19"/>
      <c r="D32" s="19"/>
      <c r="E32" s="14"/>
    </row>
    <row r="33" spans="1:5" s="38" customFormat="1" ht="15">
      <c r="A33" s="36"/>
      <c r="B33" s="22" t="s">
        <v>87</v>
      </c>
      <c r="C33" s="37">
        <f>SUM(C9:C32)</f>
        <v>24737000</v>
      </c>
      <c r="D33" s="37">
        <f>SUM(D9:D30)</f>
        <v>8492720</v>
      </c>
      <c r="E33" s="31">
        <f>+D33/C33</f>
        <v>0.3433205319966043</v>
      </c>
    </row>
    <row r="34" spans="1:5" s="38" customFormat="1" ht="15">
      <c r="A34" s="36"/>
      <c r="B34" s="22"/>
      <c r="C34" s="37"/>
      <c r="D34" s="37"/>
      <c r="E34" s="22"/>
    </row>
    <row r="35" spans="1:5" ht="14.25">
      <c r="A35" s="12"/>
      <c r="B35" s="14"/>
      <c r="C35" s="19"/>
      <c r="D35" s="19"/>
      <c r="E35" s="14"/>
    </row>
    <row r="36" spans="1:5" ht="14.25">
      <c r="A36" s="12"/>
      <c r="B36" s="14"/>
      <c r="C36" s="33"/>
      <c r="D36" s="33"/>
      <c r="E36" s="14"/>
    </row>
  </sheetData>
  <sheetProtection/>
  <mergeCells count="3">
    <mergeCell ref="A1:E1"/>
    <mergeCell ref="A2:E2"/>
    <mergeCell ref="A3:E3"/>
  </mergeCells>
  <printOptions/>
  <pageMargins left="0.75" right="0.75" top="1" bottom="1" header="0.5118055555555556" footer="0.5118055555555556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H47"/>
  <sheetViews>
    <sheetView workbookViewId="0" topLeftCell="A1">
      <selection activeCell="CG22" sqref="CG22"/>
    </sheetView>
  </sheetViews>
  <sheetFormatPr defaultColWidth="9.140625" defaultRowHeight="12.75"/>
  <cols>
    <col min="1" max="1" width="6.00390625" style="39" customWidth="1"/>
    <col min="2" max="2" width="36.57421875" style="40" customWidth="1"/>
    <col min="3" max="4" width="11.140625" style="41" hidden="1" customWidth="1"/>
    <col min="5" max="5" width="11.28125" style="41" hidden="1" customWidth="1"/>
    <col min="6" max="6" width="8.8515625" style="41" hidden="1" customWidth="1"/>
    <col min="7" max="7" width="12.28125" style="41" hidden="1" customWidth="1"/>
    <col min="8" max="8" width="12.7109375" style="41" hidden="1" customWidth="1"/>
    <col min="9" max="9" width="12.57421875" style="41" hidden="1" customWidth="1"/>
    <col min="10" max="10" width="14.57421875" style="41" hidden="1" customWidth="1"/>
    <col min="11" max="11" width="11.8515625" style="41" hidden="1" customWidth="1"/>
    <col min="12" max="12" width="14.57421875" style="41" hidden="1" customWidth="1"/>
    <col min="13" max="13" width="13.00390625" style="41" hidden="1" customWidth="1"/>
    <col min="14" max="14" width="14.28125" style="41" hidden="1" customWidth="1"/>
    <col min="15" max="15" width="12.7109375" style="42" hidden="1" customWidth="1"/>
    <col min="16" max="16" width="15.00390625" style="42" hidden="1" customWidth="1"/>
    <col min="17" max="17" width="12.00390625" style="41" hidden="1" customWidth="1"/>
    <col min="18" max="18" width="10.140625" style="41" hidden="1" customWidth="1"/>
    <col min="19" max="19" width="12.7109375" style="41" hidden="1" customWidth="1"/>
    <col min="20" max="20" width="14.28125" style="41" hidden="1" customWidth="1"/>
    <col min="21" max="21" width="12.7109375" style="41" hidden="1" customWidth="1"/>
    <col min="22" max="22" width="15.00390625" style="41" hidden="1" customWidth="1"/>
    <col min="23" max="23" width="11.8515625" style="41" hidden="1" customWidth="1"/>
    <col min="24" max="24" width="15.28125" style="41" hidden="1" customWidth="1"/>
    <col min="25" max="25" width="13.00390625" style="41" hidden="1" customWidth="1"/>
    <col min="26" max="26" width="11.28125" style="41" hidden="1" customWidth="1"/>
    <col min="27" max="27" width="13.00390625" style="41" hidden="1" customWidth="1"/>
    <col min="28" max="28" width="13.8515625" style="41" hidden="1" customWidth="1"/>
    <col min="29" max="29" width="11.8515625" style="41" hidden="1" customWidth="1"/>
    <col min="30" max="30" width="14.57421875" style="41" hidden="1" customWidth="1"/>
    <col min="31" max="31" width="13.00390625" style="41" hidden="1" customWidth="1"/>
    <col min="32" max="32" width="15.00390625" style="41" hidden="1" customWidth="1"/>
    <col min="33" max="33" width="12.57421875" style="41" customWidth="1"/>
    <col min="34" max="34" width="13.8515625" style="41" customWidth="1"/>
    <col min="35" max="35" width="12.57421875" style="41" customWidth="1"/>
    <col min="36" max="36" width="14.57421875" style="41" customWidth="1"/>
    <col min="37" max="37" width="13.00390625" style="41" customWidth="1"/>
    <col min="38" max="38" width="11.8515625" style="41" customWidth="1"/>
    <col min="39" max="39" width="13.00390625" style="41" hidden="1" customWidth="1"/>
    <col min="40" max="40" width="13.8515625" style="41" hidden="1" customWidth="1"/>
    <col min="41" max="41" width="12.7109375" style="41" hidden="1" customWidth="1"/>
    <col min="42" max="42" width="14.57421875" style="41" hidden="1" customWidth="1"/>
    <col min="43" max="43" width="15.00390625" style="41" hidden="1" customWidth="1"/>
    <col min="44" max="44" width="7.28125" style="41" hidden="1" customWidth="1"/>
    <col min="45" max="45" width="12.7109375" style="41" hidden="1" customWidth="1"/>
    <col min="46" max="46" width="13.8515625" style="41" hidden="1" customWidth="1"/>
    <col min="47" max="47" width="12.57421875" style="41" hidden="1" customWidth="1"/>
    <col min="48" max="48" width="14.57421875" style="41" hidden="1" customWidth="1"/>
    <col min="49" max="49" width="13.00390625" style="41" hidden="1" customWidth="1"/>
    <col min="50" max="50" width="15.00390625" style="41" hidden="1" customWidth="1"/>
    <col min="51" max="51" width="12.7109375" style="41" hidden="1" customWidth="1"/>
    <col min="52" max="52" width="13.8515625" style="41" hidden="1" customWidth="1"/>
    <col min="53" max="53" width="12.7109375" style="41" hidden="1" customWidth="1"/>
    <col min="54" max="54" width="14.57421875" style="41" hidden="1" customWidth="1"/>
    <col min="55" max="55" width="13.00390625" style="41" hidden="1" customWidth="1"/>
    <col min="56" max="56" width="15.00390625" style="41" hidden="1" customWidth="1"/>
    <col min="57" max="57" width="13.00390625" style="41" hidden="1" customWidth="1"/>
    <col min="58" max="58" width="13.8515625" style="41" hidden="1" customWidth="1"/>
    <col min="59" max="59" width="12.7109375" style="41" hidden="1" customWidth="1"/>
    <col min="60" max="60" width="14.57421875" style="41" hidden="1" customWidth="1"/>
    <col min="61" max="61" width="13.00390625" style="41" hidden="1" customWidth="1"/>
    <col min="62" max="62" width="15.00390625" style="41" hidden="1" customWidth="1"/>
    <col min="63" max="63" width="13.00390625" style="41" hidden="1" customWidth="1"/>
    <col min="64" max="64" width="13.8515625" style="41" hidden="1" customWidth="1"/>
    <col min="65" max="65" width="12.7109375" style="41" hidden="1" customWidth="1"/>
    <col min="66" max="66" width="14.57421875" style="41" hidden="1" customWidth="1"/>
    <col min="67" max="67" width="13.00390625" style="41" hidden="1" customWidth="1"/>
    <col min="68" max="68" width="15.00390625" style="41" hidden="1" customWidth="1"/>
    <col min="69" max="69" width="13.00390625" style="41" hidden="1" customWidth="1"/>
    <col min="70" max="70" width="13.8515625" style="41" hidden="1" customWidth="1"/>
    <col min="71" max="71" width="13.00390625" style="41" hidden="1" customWidth="1"/>
    <col min="72" max="72" width="14.57421875" style="41" hidden="1" customWidth="1"/>
    <col min="73" max="73" width="13.00390625" style="41" hidden="1" customWidth="1"/>
    <col min="74" max="74" width="15.00390625" style="41" hidden="1" customWidth="1"/>
    <col min="75" max="75" width="12.57421875" style="272" bestFit="1" customWidth="1"/>
    <col min="76" max="76" width="12.57421875" style="41" bestFit="1" customWidth="1"/>
    <col min="77" max="77" width="12.57421875" style="42" bestFit="1" customWidth="1"/>
    <col min="78" max="78" width="10.140625" style="41" bestFit="1" customWidth="1"/>
    <col min="79" max="79" width="12.57421875" style="41" hidden="1" customWidth="1"/>
    <col min="80" max="80" width="12.28125" style="41" hidden="1" customWidth="1"/>
    <col min="81" max="81" width="10.140625" style="41" hidden="1" customWidth="1"/>
    <col min="82" max="82" width="10.57421875" style="41" hidden="1" customWidth="1"/>
    <col min="83" max="216" width="9.140625" style="43" customWidth="1"/>
    <col min="217" max="16384" width="9.140625" style="41" customWidth="1"/>
  </cols>
  <sheetData>
    <row r="1" spans="1:10" ht="18">
      <c r="A1" s="44" t="s">
        <v>88</v>
      </c>
      <c r="B1" s="34"/>
      <c r="C1" s="34"/>
      <c r="D1" s="34"/>
      <c r="E1" s="34"/>
      <c r="F1" s="34"/>
      <c r="G1" s="34"/>
      <c r="H1" s="34"/>
      <c r="I1" s="34"/>
      <c r="J1" s="34"/>
    </row>
    <row r="2" spans="1:15" ht="15.75">
      <c r="A2" s="45" t="s">
        <v>257</v>
      </c>
      <c r="B2" s="45"/>
      <c r="C2" s="45"/>
      <c r="D2" s="45"/>
      <c r="E2" s="45"/>
      <c r="F2" s="45"/>
      <c r="G2" s="45"/>
      <c r="H2" s="45"/>
      <c r="I2" s="45" t="s">
        <v>254</v>
      </c>
      <c r="J2" s="34"/>
      <c r="O2" s="289"/>
    </row>
    <row r="3" spans="1:10" ht="15.75">
      <c r="A3" s="45" t="s">
        <v>276</v>
      </c>
      <c r="C3" s="45"/>
      <c r="D3" s="45"/>
      <c r="E3" s="45"/>
      <c r="F3" s="45"/>
      <c r="G3" s="45"/>
      <c r="H3" s="45"/>
      <c r="I3" s="45"/>
      <c r="J3" s="45"/>
    </row>
    <row r="4" spans="1:77" ht="36.75" customHeight="1" thickBot="1">
      <c r="A4" s="314" t="s">
        <v>89</v>
      </c>
      <c r="B4" s="314"/>
      <c r="C4" s="314"/>
      <c r="D4" s="314"/>
      <c r="E4" s="314"/>
      <c r="F4" s="314"/>
      <c r="G4" s="314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273"/>
      <c r="BX4" s="47"/>
      <c r="BY4" s="47"/>
    </row>
    <row r="5" spans="1:216" s="258" customFormat="1" ht="14.25" thickBot="1" thickTop="1">
      <c r="A5" s="255"/>
      <c r="B5" s="256"/>
      <c r="C5" s="315" t="s">
        <v>90</v>
      </c>
      <c r="D5" s="312"/>
      <c r="E5" s="312"/>
      <c r="F5" s="312"/>
      <c r="G5" s="312"/>
      <c r="H5" s="312"/>
      <c r="I5" s="309" t="s">
        <v>91</v>
      </c>
      <c r="J5" s="309"/>
      <c r="K5" s="309"/>
      <c r="L5" s="309"/>
      <c r="M5" s="309"/>
      <c r="N5" s="309"/>
      <c r="O5" s="309" t="s">
        <v>92</v>
      </c>
      <c r="P5" s="309"/>
      <c r="Q5" s="309"/>
      <c r="R5" s="309"/>
      <c r="S5" s="309"/>
      <c r="T5" s="309"/>
      <c r="U5" s="306" t="s">
        <v>93</v>
      </c>
      <c r="V5" s="307"/>
      <c r="W5" s="307"/>
      <c r="X5" s="307"/>
      <c r="Y5" s="307"/>
      <c r="Z5" s="308"/>
      <c r="AA5" s="306" t="s">
        <v>94</v>
      </c>
      <c r="AB5" s="307"/>
      <c r="AC5" s="307"/>
      <c r="AD5" s="307"/>
      <c r="AE5" s="307"/>
      <c r="AF5" s="308"/>
      <c r="AG5" s="306" t="s">
        <v>95</v>
      </c>
      <c r="AH5" s="307"/>
      <c r="AI5" s="307"/>
      <c r="AJ5" s="307"/>
      <c r="AK5" s="307"/>
      <c r="AL5" s="308"/>
      <c r="AM5" s="306" t="s">
        <v>96</v>
      </c>
      <c r="AN5" s="307"/>
      <c r="AO5" s="307"/>
      <c r="AP5" s="307"/>
      <c r="AQ5" s="307"/>
      <c r="AR5" s="308"/>
      <c r="AS5" s="306" t="s">
        <v>97</v>
      </c>
      <c r="AT5" s="307"/>
      <c r="AU5" s="307"/>
      <c r="AV5" s="307"/>
      <c r="AW5" s="307"/>
      <c r="AX5" s="308"/>
      <c r="AY5" s="306" t="s">
        <v>98</v>
      </c>
      <c r="AZ5" s="307"/>
      <c r="BA5" s="307"/>
      <c r="BB5" s="307"/>
      <c r="BC5" s="307"/>
      <c r="BD5" s="308"/>
      <c r="BE5" s="306" t="s">
        <v>99</v>
      </c>
      <c r="BF5" s="307"/>
      <c r="BG5" s="307"/>
      <c r="BH5" s="307"/>
      <c r="BI5" s="307"/>
      <c r="BJ5" s="308"/>
      <c r="BK5" s="306" t="s">
        <v>100</v>
      </c>
      <c r="BL5" s="307"/>
      <c r="BM5" s="307"/>
      <c r="BN5" s="307"/>
      <c r="BO5" s="307"/>
      <c r="BP5" s="308"/>
      <c r="BQ5" s="306" t="s">
        <v>101</v>
      </c>
      <c r="BR5" s="307"/>
      <c r="BS5" s="307"/>
      <c r="BT5" s="307"/>
      <c r="BU5" s="307"/>
      <c r="BV5" s="308"/>
      <c r="BW5" s="306" t="s">
        <v>102</v>
      </c>
      <c r="BX5" s="307"/>
      <c r="BY5" s="308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</row>
    <row r="6" spans="1:216" s="258" customFormat="1" ht="14.25" thickBot="1" thickTop="1">
      <c r="A6" s="255"/>
      <c r="B6" s="256"/>
      <c r="C6" s="309">
        <v>2008</v>
      </c>
      <c r="D6" s="309"/>
      <c r="E6" s="309"/>
      <c r="F6" s="309"/>
      <c r="G6" s="309"/>
      <c r="H6" s="309"/>
      <c r="I6" s="309">
        <v>2008</v>
      </c>
      <c r="J6" s="309"/>
      <c r="K6" s="309"/>
      <c r="L6" s="309"/>
      <c r="M6" s="309"/>
      <c r="N6" s="309"/>
      <c r="O6" s="309">
        <v>2008</v>
      </c>
      <c r="P6" s="309"/>
      <c r="Q6" s="309"/>
      <c r="R6" s="309"/>
      <c r="S6" s="309"/>
      <c r="T6" s="309"/>
      <c r="U6" s="309">
        <v>2008</v>
      </c>
      <c r="V6" s="309"/>
      <c r="W6" s="309"/>
      <c r="X6" s="309"/>
      <c r="Y6" s="309"/>
      <c r="Z6" s="309"/>
      <c r="AA6" s="309">
        <v>2008</v>
      </c>
      <c r="AB6" s="309"/>
      <c r="AC6" s="309"/>
      <c r="AD6" s="309"/>
      <c r="AE6" s="309"/>
      <c r="AF6" s="309"/>
      <c r="AG6" s="309">
        <v>2008</v>
      </c>
      <c r="AH6" s="309"/>
      <c r="AI6" s="309"/>
      <c r="AJ6" s="309"/>
      <c r="AK6" s="309"/>
      <c r="AL6" s="309"/>
      <c r="AM6" s="306">
        <v>2009</v>
      </c>
      <c r="AN6" s="307"/>
      <c r="AO6" s="307"/>
      <c r="AP6" s="307"/>
      <c r="AQ6" s="307"/>
      <c r="AR6" s="308"/>
      <c r="AS6" s="306">
        <v>2009</v>
      </c>
      <c r="AT6" s="307"/>
      <c r="AU6" s="307"/>
      <c r="AV6" s="307"/>
      <c r="AW6" s="307"/>
      <c r="AX6" s="308"/>
      <c r="AY6" s="306">
        <v>2009</v>
      </c>
      <c r="AZ6" s="307"/>
      <c r="BA6" s="307"/>
      <c r="BB6" s="307"/>
      <c r="BC6" s="307"/>
      <c r="BD6" s="308"/>
      <c r="BE6" s="306">
        <v>2009</v>
      </c>
      <c r="BF6" s="307"/>
      <c r="BG6" s="307"/>
      <c r="BH6" s="307"/>
      <c r="BI6" s="307"/>
      <c r="BJ6" s="308"/>
      <c r="BK6" s="306">
        <v>2009</v>
      </c>
      <c r="BL6" s="307"/>
      <c r="BM6" s="307"/>
      <c r="BN6" s="307"/>
      <c r="BO6" s="307"/>
      <c r="BP6" s="308"/>
      <c r="BQ6" s="306">
        <v>2009</v>
      </c>
      <c r="BR6" s="307"/>
      <c r="BS6" s="307"/>
      <c r="BT6" s="307"/>
      <c r="BU6" s="307"/>
      <c r="BV6" s="308"/>
      <c r="BW6" s="274"/>
      <c r="BX6" s="257" t="s">
        <v>103</v>
      </c>
      <c r="BY6" s="257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</row>
    <row r="7" spans="1:216" s="258" customFormat="1" ht="14.25" thickBot="1" thickTop="1">
      <c r="A7" s="255"/>
      <c r="B7" s="256"/>
      <c r="C7" s="259" t="s">
        <v>104</v>
      </c>
      <c r="D7" s="259" t="s">
        <v>105</v>
      </c>
      <c r="E7" s="259" t="s">
        <v>106</v>
      </c>
      <c r="F7" s="259" t="s">
        <v>107</v>
      </c>
      <c r="G7" s="259" t="s">
        <v>108</v>
      </c>
      <c r="H7" s="259" t="s">
        <v>109</v>
      </c>
      <c r="I7" s="259" t="s">
        <v>104</v>
      </c>
      <c r="J7" s="259" t="s">
        <v>105</v>
      </c>
      <c r="K7" s="259" t="s">
        <v>106</v>
      </c>
      <c r="L7" s="259" t="s">
        <v>107</v>
      </c>
      <c r="M7" s="259" t="s">
        <v>108</v>
      </c>
      <c r="N7" s="259" t="s">
        <v>109</v>
      </c>
      <c r="O7" s="259" t="s">
        <v>104</v>
      </c>
      <c r="P7" s="259" t="s">
        <v>105</v>
      </c>
      <c r="Q7" s="259" t="s">
        <v>106</v>
      </c>
      <c r="R7" s="259" t="s">
        <v>107</v>
      </c>
      <c r="S7" s="259" t="s">
        <v>108</v>
      </c>
      <c r="T7" s="259" t="s">
        <v>109</v>
      </c>
      <c r="U7" s="259" t="s">
        <v>104</v>
      </c>
      <c r="V7" s="259" t="s">
        <v>105</v>
      </c>
      <c r="W7" s="259" t="s">
        <v>106</v>
      </c>
      <c r="X7" s="259" t="s">
        <v>107</v>
      </c>
      <c r="Y7" s="259" t="s">
        <v>108</v>
      </c>
      <c r="Z7" s="259" t="s">
        <v>109</v>
      </c>
      <c r="AA7" s="259" t="s">
        <v>104</v>
      </c>
      <c r="AB7" s="259" t="s">
        <v>105</v>
      </c>
      <c r="AC7" s="259" t="s">
        <v>106</v>
      </c>
      <c r="AD7" s="259" t="s">
        <v>107</v>
      </c>
      <c r="AE7" s="259" t="s">
        <v>108</v>
      </c>
      <c r="AF7" s="259" t="s">
        <v>109</v>
      </c>
      <c r="AG7" s="259" t="s">
        <v>104</v>
      </c>
      <c r="AH7" s="259" t="s">
        <v>105</v>
      </c>
      <c r="AI7" s="259" t="s">
        <v>106</v>
      </c>
      <c r="AJ7" s="259" t="s">
        <v>107</v>
      </c>
      <c r="AK7" s="259" t="s">
        <v>108</v>
      </c>
      <c r="AL7" s="259" t="s">
        <v>109</v>
      </c>
      <c r="AM7" s="259" t="s">
        <v>104</v>
      </c>
      <c r="AN7" s="259" t="s">
        <v>105</v>
      </c>
      <c r="AO7" s="259" t="s">
        <v>106</v>
      </c>
      <c r="AP7" s="259" t="s">
        <v>107</v>
      </c>
      <c r="AQ7" s="259" t="s">
        <v>108</v>
      </c>
      <c r="AR7" s="259" t="s">
        <v>109</v>
      </c>
      <c r="AS7" s="259" t="s">
        <v>104</v>
      </c>
      <c r="AT7" s="259" t="s">
        <v>105</v>
      </c>
      <c r="AU7" s="259" t="s">
        <v>106</v>
      </c>
      <c r="AV7" s="259" t="s">
        <v>107</v>
      </c>
      <c r="AW7" s="259" t="s">
        <v>108</v>
      </c>
      <c r="AX7" s="259" t="s">
        <v>109</v>
      </c>
      <c r="AY7" s="259" t="s">
        <v>104</v>
      </c>
      <c r="AZ7" s="259" t="s">
        <v>105</v>
      </c>
      <c r="BA7" s="259" t="s">
        <v>106</v>
      </c>
      <c r="BB7" s="259" t="s">
        <v>107</v>
      </c>
      <c r="BC7" s="259" t="s">
        <v>108</v>
      </c>
      <c r="BD7" s="259" t="s">
        <v>109</v>
      </c>
      <c r="BE7" s="259" t="s">
        <v>104</v>
      </c>
      <c r="BF7" s="259" t="s">
        <v>105</v>
      </c>
      <c r="BG7" s="259" t="s">
        <v>106</v>
      </c>
      <c r="BH7" s="259" t="s">
        <v>107</v>
      </c>
      <c r="BI7" s="259" t="s">
        <v>108</v>
      </c>
      <c r="BJ7" s="259" t="s">
        <v>109</v>
      </c>
      <c r="BK7" s="259" t="s">
        <v>104</v>
      </c>
      <c r="BL7" s="259" t="s">
        <v>105</v>
      </c>
      <c r="BM7" s="259" t="s">
        <v>106</v>
      </c>
      <c r="BN7" s="259" t="s">
        <v>107</v>
      </c>
      <c r="BO7" s="259" t="s">
        <v>108</v>
      </c>
      <c r="BP7" s="259" t="s">
        <v>109</v>
      </c>
      <c r="BQ7" s="259" t="s">
        <v>104</v>
      </c>
      <c r="BR7" s="259" t="s">
        <v>105</v>
      </c>
      <c r="BS7" s="259" t="s">
        <v>106</v>
      </c>
      <c r="BT7" s="259" t="s">
        <v>107</v>
      </c>
      <c r="BU7" s="259" t="s">
        <v>108</v>
      </c>
      <c r="BV7" s="259" t="s">
        <v>109</v>
      </c>
      <c r="BW7" s="275" t="s">
        <v>110</v>
      </c>
      <c r="BX7" s="259" t="s">
        <v>111</v>
      </c>
      <c r="BY7" s="259" t="s">
        <v>112</v>
      </c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</row>
    <row r="8" spans="1:216" s="258" customFormat="1" ht="25.5" thickBot="1" thickTop="1">
      <c r="A8" s="260" t="s">
        <v>113</v>
      </c>
      <c r="B8" s="256" t="s">
        <v>114</v>
      </c>
      <c r="C8" s="259" t="s">
        <v>115</v>
      </c>
      <c r="D8" s="259" t="s">
        <v>115</v>
      </c>
      <c r="E8" s="259" t="s">
        <v>115</v>
      </c>
      <c r="F8" s="259" t="s">
        <v>115</v>
      </c>
      <c r="G8" s="259" t="s">
        <v>115</v>
      </c>
      <c r="H8" s="259" t="s">
        <v>115</v>
      </c>
      <c r="I8" s="259" t="s">
        <v>115</v>
      </c>
      <c r="J8" s="259" t="s">
        <v>115</v>
      </c>
      <c r="K8" s="259" t="s">
        <v>115</v>
      </c>
      <c r="L8" s="259" t="s">
        <v>115</v>
      </c>
      <c r="M8" s="259" t="s">
        <v>115</v>
      </c>
      <c r="N8" s="259" t="s">
        <v>115</v>
      </c>
      <c r="O8" s="259" t="s">
        <v>115</v>
      </c>
      <c r="P8" s="259" t="s">
        <v>115</v>
      </c>
      <c r="Q8" s="259" t="s">
        <v>115</v>
      </c>
      <c r="R8" s="259" t="s">
        <v>115</v>
      </c>
      <c r="S8" s="259" t="s">
        <v>115</v>
      </c>
      <c r="T8" s="259" t="s">
        <v>115</v>
      </c>
      <c r="U8" s="259" t="s">
        <v>115</v>
      </c>
      <c r="V8" s="259" t="s">
        <v>115</v>
      </c>
      <c r="W8" s="259" t="s">
        <v>115</v>
      </c>
      <c r="X8" s="259" t="s">
        <v>115</v>
      </c>
      <c r="Y8" s="259" t="s">
        <v>115</v>
      </c>
      <c r="Z8" s="259" t="s">
        <v>115</v>
      </c>
      <c r="AA8" s="259" t="s">
        <v>115</v>
      </c>
      <c r="AB8" s="259" t="s">
        <v>115</v>
      </c>
      <c r="AC8" s="259" t="s">
        <v>115</v>
      </c>
      <c r="AD8" s="259" t="s">
        <v>115</v>
      </c>
      <c r="AE8" s="259" t="s">
        <v>115</v>
      </c>
      <c r="AF8" s="259" t="s">
        <v>115</v>
      </c>
      <c r="AG8" s="259" t="s">
        <v>115</v>
      </c>
      <c r="AH8" s="259" t="s">
        <v>115</v>
      </c>
      <c r="AI8" s="259" t="s">
        <v>115</v>
      </c>
      <c r="AJ8" s="259" t="s">
        <v>115</v>
      </c>
      <c r="AK8" s="259" t="s">
        <v>115</v>
      </c>
      <c r="AL8" s="259" t="s">
        <v>115</v>
      </c>
      <c r="AM8" s="259" t="s">
        <v>115</v>
      </c>
      <c r="AN8" s="259" t="s">
        <v>115</v>
      </c>
      <c r="AO8" s="259" t="s">
        <v>115</v>
      </c>
      <c r="AP8" s="259" t="s">
        <v>115</v>
      </c>
      <c r="AQ8" s="259" t="s">
        <v>115</v>
      </c>
      <c r="AR8" s="259" t="s">
        <v>115</v>
      </c>
      <c r="AS8" s="259" t="s">
        <v>115</v>
      </c>
      <c r="AT8" s="259" t="s">
        <v>115</v>
      </c>
      <c r="AU8" s="259" t="s">
        <v>115</v>
      </c>
      <c r="AV8" s="259" t="s">
        <v>115</v>
      </c>
      <c r="AW8" s="259" t="s">
        <v>115</v>
      </c>
      <c r="AX8" s="259" t="s">
        <v>115</v>
      </c>
      <c r="AY8" s="259" t="s">
        <v>115</v>
      </c>
      <c r="AZ8" s="259" t="s">
        <v>115</v>
      </c>
      <c r="BA8" s="259" t="s">
        <v>115</v>
      </c>
      <c r="BB8" s="259" t="s">
        <v>115</v>
      </c>
      <c r="BC8" s="259" t="s">
        <v>115</v>
      </c>
      <c r="BD8" s="259" t="s">
        <v>115</v>
      </c>
      <c r="BE8" s="259" t="s">
        <v>115</v>
      </c>
      <c r="BF8" s="259" t="s">
        <v>115</v>
      </c>
      <c r="BG8" s="259" t="s">
        <v>115</v>
      </c>
      <c r="BH8" s="259" t="s">
        <v>115</v>
      </c>
      <c r="BI8" s="259" t="s">
        <v>115</v>
      </c>
      <c r="BJ8" s="259" t="s">
        <v>115</v>
      </c>
      <c r="BK8" s="259" t="s">
        <v>115</v>
      </c>
      <c r="BL8" s="259" t="s">
        <v>115</v>
      </c>
      <c r="BM8" s="259" t="s">
        <v>115</v>
      </c>
      <c r="BN8" s="259" t="s">
        <v>115</v>
      </c>
      <c r="BO8" s="259" t="s">
        <v>115</v>
      </c>
      <c r="BP8" s="259" t="s">
        <v>115</v>
      </c>
      <c r="BQ8" s="259" t="s">
        <v>115</v>
      </c>
      <c r="BR8" s="259" t="s">
        <v>115</v>
      </c>
      <c r="BS8" s="259" t="s">
        <v>115</v>
      </c>
      <c r="BT8" s="259" t="s">
        <v>115</v>
      </c>
      <c r="BU8" s="259" t="s">
        <v>115</v>
      </c>
      <c r="BV8" s="259" t="s">
        <v>115</v>
      </c>
      <c r="BW8" s="275" t="s">
        <v>115</v>
      </c>
      <c r="BX8" s="259" t="s">
        <v>116</v>
      </c>
      <c r="BY8" s="259" t="s">
        <v>116</v>
      </c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</row>
    <row r="9" spans="1:82" ht="14.25" thickBot="1" thickTop="1">
      <c r="A9" s="48"/>
      <c r="B9" s="49" t="s">
        <v>117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276"/>
      <c r="BX9" s="50"/>
      <c r="BY9" s="51"/>
      <c r="BZ9" s="43"/>
      <c r="CA9" s="43"/>
      <c r="CB9" s="43"/>
      <c r="CC9" s="43"/>
      <c r="CD9" s="43"/>
    </row>
    <row r="10" spans="1:82" ht="14.25" thickBot="1" thickTop="1">
      <c r="A10" s="48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276"/>
      <c r="BR10" s="53"/>
      <c r="BS10" s="53"/>
      <c r="BT10" s="53"/>
      <c r="BU10" s="53"/>
      <c r="BV10" s="53"/>
      <c r="BW10" s="53"/>
      <c r="BX10" s="54"/>
      <c r="BY10" s="53"/>
      <c r="BZ10" s="43"/>
      <c r="CA10" s="43"/>
      <c r="CB10" s="43"/>
      <c r="CC10" s="43"/>
      <c r="CD10" s="43"/>
    </row>
    <row r="11" spans="1:82" ht="14.25" thickBot="1" thickTop="1">
      <c r="A11" s="48" t="s">
        <v>118</v>
      </c>
      <c r="B11" s="52" t="s">
        <v>119</v>
      </c>
      <c r="C11" s="277">
        <f>6671631/12</f>
        <v>555969.25</v>
      </c>
      <c r="D11" s="277">
        <f>'[1]EXP'!D9</f>
        <v>765083</v>
      </c>
      <c r="E11" s="277">
        <v>0</v>
      </c>
      <c r="F11" s="277">
        <v>0</v>
      </c>
      <c r="G11" s="277">
        <f>G29+G31+G32+G34+G35</f>
        <v>23279662</v>
      </c>
      <c r="H11" s="277">
        <v>24002511</v>
      </c>
      <c r="I11" s="277">
        <f>(6671631/12)*2</f>
        <v>1111938.5</v>
      </c>
      <c r="J11" s="277">
        <f>'[1]EXP'!D9</f>
        <v>765083</v>
      </c>
      <c r="K11" s="277">
        <v>10000</v>
      </c>
      <c r="L11" s="277">
        <v>0</v>
      </c>
      <c r="M11" s="277">
        <f>M29+M31+M32+M34+M35</f>
        <v>23830622</v>
      </c>
      <c r="N11" s="277">
        <v>24513633</v>
      </c>
      <c r="O11" s="277">
        <f>(6671631/12)*3</f>
        <v>1667907.75</v>
      </c>
      <c r="P11" s="277">
        <f>EXP!D9</f>
        <v>2941103</v>
      </c>
      <c r="Q11" s="277">
        <v>10000</v>
      </c>
      <c r="R11" s="277">
        <v>0</v>
      </c>
      <c r="S11" s="277">
        <f>S29+S31+S32+S34+S35</f>
        <v>24331582</v>
      </c>
      <c r="T11" s="277">
        <v>25749687</v>
      </c>
      <c r="U11" s="277">
        <f>(6671631/12)*4</f>
        <v>2223877</v>
      </c>
      <c r="V11" s="290">
        <v>0</v>
      </c>
      <c r="W11" s="277">
        <v>10000</v>
      </c>
      <c r="X11" s="277">
        <v>0</v>
      </c>
      <c r="Y11" s="277">
        <f>Y29+Y31+Y32+Y34+Y35</f>
        <v>24782542</v>
      </c>
      <c r="Z11" s="277">
        <v>26777659</v>
      </c>
      <c r="AA11" s="277">
        <f>(6671631/12)*5</f>
        <v>2779846.25</v>
      </c>
      <c r="AB11" s="290">
        <f>EXP!D9</f>
        <v>2941103</v>
      </c>
      <c r="AC11" s="277">
        <v>10000</v>
      </c>
      <c r="AD11" s="277">
        <v>0</v>
      </c>
      <c r="AE11" s="277">
        <f>AE29+AE31+AE32+AE34+AE35</f>
        <v>42342528</v>
      </c>
      <c r="AF11" s="277">
        <v>44845658</v>
      </c>
      <c r="AG11" s="277">
        <f>(6671631/12)*6</f>
        <v>3335815.5</v>
      </c>
      <c r="AH11" s="292">
        <f>EXP!D9</f>
        <v>2941103</v>
      </c>
      <c r="AI11" s="277">
        <v>10000</v>
      </c>
      <c r="AJ11" s="277">
        <v>0</v>
      </c>
      <c r="AK11" s="277">
        <f>AK29+AK31+AK32+AK34+AK35</f>
        <v>42743488</v>
      </c>
      <c r="AL11" s="277">
        <v>45378993</v>
      </c>
      <c r="AM11" s="277">
        <f>(6671631/12)*7</f>
        <v>3891784.75</v>
      </c>
      <c r="AN11" s="277"/>
      <c r="AO11" s="277">
        <v>10000</v>
      </c>
      <c r="AP11" s="277"/>
      <c r="AQ11" s="277">
        <f>AQ29+AQ31+AQ32+AQ34+AQ35</f>
        <v>43094448</v>
      </c>
      <c r="AR11" s="277"/>
      <c r="AS11" s="277">
        <f>(6671631/12)*8</f>
        <v>4447754</v>
      </c>
      <c r="AT11" s="277"/>
      <c r="AU11" s="277">
        <v>10000</v>
      </c>
      <c r="AV11" s="277"/>
      <c r="AW11" s="277">
        <f>AW29+AW31+AW32+AW34+AW35</f>
        <v>71543680</v>
      </c>
      <c r="AX11" s="277"/>
      <c r="AY11" s="277">
        <f>(6671631/12)*9</f>
        <v>5003723.25</v>
      </c>
      <c r="AZ11" s="277"/>
      <c r="BA11" s="277">
        <v>10000</v>
      </c>
      <c r="BB11" s="277"/>
      <c r="BC11" s="277">
        <f>BC29+BC31+BC32+BC34+BC35</f>
        <v>71844640</v>
      </c>
      <c r="BD11" s="277"/>
      <c r="BE11" s="277">
        <f>(6671631/12)*10</f>
        <v>5559692.5</v>
      </c>
      <c r="BF11" s="277"/>
      <c r="BG11" s="277">
        <v>10000</v>
      </c>
      <c r="BH11" s="277"/>
      <c r="BI11" s="277">
        <f>BI29+BI31+BI32+BI34+BI35</f>
        <v>72145600</v>
      </c>
      <c r="BJ11" s="277"/>
      <c r="BK11" s="277">
        <f>(6671631/12)*11</f>
        <v>6115661.75</v>
      </c>
      <c r="BL11" s="277"/>
      <c r="BM11" s="277">
        <v>2500000</v>
      </c>
      <c r="BN11" s="277"/>
      <c r="BO11" s="277">
        <f>BO29+BO31+BO32+BO34+BO35</f>
        <v>72396560</v>
      </c>
      <c r="BP11" s="277"/>
      <c r="BQ11" s="277">
        <f>(6671631/12)*12</f>
        <v>6671631</v>
      </c>
      <c r="BR11" s="277"/>
      <c r="BS11" s="277">
        <v>2500000</v>
      </c>
      <c r="BT11" s="277"/>
      <c r="BU11" s="277">
        <f>BU29+BU31+BU32+BU34+BU35</f>
        <v>72647500</v>
      </c>
      <c r="BV11" s="277"/>
      <c r="BW11" s="277">
        <f aca="true" t="shared" si="0" ref="BW11:BW20">BQ11</f>
        <v>6671631</v>
      </c>
      <c r="BX11" s="278">
        <f aca="true" t="shared" si="1" ref="BX11:BX20">BS11</f>
        <v>2500000</v>
      </c>
      <c r="BY11" s="279">
        <f aca="true" t="shared" si="2" ref="BY11:BY20">BU11</f>
        <v>72647500</v>
      </c>
      <c r="BZ11" s="43"/>
      <c r="CA11" s="43"/>
      <c r="CB11" s="43"/>
      <c r="CC11" s="43"/>
      <c r="CD11" s="43"/>
    </row>
    <row r="12" spans="1:82" ht="14.25" thickBot="1" thickTop="1">
      <c r="A12" s="48" t="s">
        <v>120</v>
      </c>
      <c r="B12" s="52" t="s">
        <v>43</v>
      </c>
      <c r="C12" s="277">
        <f>((4782057-851000)/12)+20000</f>
        <v>347588.0833333333</v>
      </c>
      <c r="D12" s="277">
        <f>'[1]EXP'!D16</f>
        <v>507065</v>
      </c>
      <c r="E12" s="277">
        <v>0</v>
      </c>
      <c r="F12" s="277">
        <v>0</v>
      </c>
      <c r="G12" s="277">
        <f>G36</f>
        <v>367500</v>
      </c>
      <c r="H12" s="277">
        <v>849528</v>
      </c>
      <c r="I12" s="277">
        <f>(327588*2)+70000</f>
        <v>725176</v>
      </c>
      <c r="J12" s="277">
        <f>'[1]EXP'!D16</f>
        <v>507065</v>
      </c>
      <c r="K12" s="277">
        <v>20000</v>
      </c>
      <c r="L12" s="277">
        <v>0</v>
      </c>
      <c r="M12" s="277">
        <f>M36</f>
        <v>367500</v>
      </c>
      <c r="N12" s="277">
        <v>114528</v>
      </c>
      <c r="O12" s="277">
        <f>(327588*3)+150000</f>
        <v>1132764</v>
      </c>
      <c r="P12" s="277">
        <f>EXP!D16</f>
        <v>1798939</v>
      </c>
      <c r="Q12" s="277">
        <v>20000</v>
      </c>
      <c r="R12" s="277">
        <v>0</v>
      </c>
      <c r="S12" s="277">
        <f>S36</f>
        <v>367500</v>
      </c>
      <c r="T12" s="277">
        <v>114528</v>
      </c>
      <c r="U12" s="277">
        <f>(327588*4)+165000</f>
        <v>1475352</v>
      </c>
      <c r="V12" s="290">
        <f>EXP!D16</f>
        <v>1798939</v>
      </c>
      <c r="W12" s="277">
        <v>20000</v>
      </c>
      <c r="X12" s="277">
        <v>0</v>
      </c>
      <c r="Y12" s="277">
        <f>Y36</f>
        <v>367500</v>
      </c>
      <c r="Z12" s="277">
        <v>114528</v>
      </c>
      <c r="AA12" s="277">
        <f>(327588*5)+180000</f>
        <v>1817940</v>
      </c>
      <c r="AB12" s="290">
        <f>EXP!D16</f>
        <v>1798939</v>
      </c>
      <c r="AC12" s="277">
        <v>20000</v>
      </c>
      <c r="AD12" s="277">
        <v>0</v>
      </c>
      <c r="AE12" s="277">
        <f>AE36</f>
        <v>735000</v>
      </c>
      <c r="AF12" s="277">
        <v>114528</v>
      </c>
      <c r="AG12" s="277">
        <f>(327588*6)+305000</f>
        <v>2270528</v>
      </c>
      <c r="AH12" s="292">
        <f>EXP!D16</f>
        <v>1798939</v>
      </c>
      <c r="AI12" s="280">
        <v>1110000</v>
      </c>
      <c r="AJ12" s="277">
        <v>0</v>
      </c>
      <c r="AK12" s="277">
        <f>AK36</f>
        <v>735000</v>
      </c>
      <c r="AL12" s="277">
        <v>353806</v>
      </c>
      <c r="AM12" s="277">
        <f>(327588*7)+425000</f>
        <v>2718116</v>
      </c>
      <c r="AN12" s="277"/>
      <c r="AO12" s="280">
        <v>1110000</v>
      </c>
      <c r="AP12" s="277"/>
      <c r="AQ12" s="277">
        <f>AQ36</f>
        <v>735000</v>
      </c>
      <c r="AR12" s="277"/>
      <c r="AS12" s="277">
        <f>(327588*8)+611111</f>
        <v>3231815</v>
      </c>
      <c r="AT12" s="277"/>
      <c r="AU12" s="280">
        <v>1110000</v>
      </c>
      <c r="AV12" s="277"/>
      <c r="AW12" s="277">
        <f>AW36</f>
        <v>735000</v>
      </c>
      <c r="AX12" s="277"/>
      <c r="AY12" s="277">
        <f>(327588*9)+771000</f>
        <v>3719292</v>
      </c>
      <c r="AZ12" s="277"/>
      <c r="BA12" s="280">
        <v>1110000</v>
      </c>
      <c r="BB12" s="277"/>
      <c r="BC12" s="277">
        <f>BC36</f>
        <v>735000</v>
      </c>
      <c r="BD12" s="277"/>
      <c r="BE12" s="277">
        <f>(327588*10)+851000</f>
        <v>4126880</v>
      </c>
      <c r="BF12" s="277"/>
      <c r="BG12" s="280">
        <v>1110000</v>
      </c>
      <c r="BH12" s="277"/>
      <c r="BI12" s="277">
        <f>BI36</f>
        <v>735000</v>
      </c>
      <c r="BJ12" s="277"/>
      <c r="BK12" s="277">
        <f>(327588*11)+851000</f>
        <v>4454468</v>
      </c>
      <c r="BL12" s="277"/>
      <c r="BM12" s="280">
        <v>1110000</v>
      </c>
      <c r="BN12" s="277"/>
      <c r="BO12" s="277">
        <f>BO36</f>
        <v>735000</v>
      </c>
      <c r="BP12" s="277"/>
      <c r="BQ12" s="277">
        <f>(327588*12)+851000+1</f>
        <v>4782057</v>
      </c>
      <c r="BR12" s="277"/>
      <c r="BS12" s="277">
        <v>2200000</v>
      </c>
      <c r="BT12" s="277"/>
      <c r="BU12" s="277">
        <f>BU36</f>
        <v>735000</v>
      </c>
      <c r="BV12" s="277"/>
      <c r="BW12" s="277">
        <f t="shared" si="0"/>
        <v>4782057</v>
      </c>
      <c r="BX12" s="278">
        <f t="shared" si="1"/>
        <v>2200000</v>
      </c>
      <c r="BY12" s="279">
        <f t="shared" si="2"/>
        <v>735000</v>
      </c>
      <c r="BZ12" s="43"/>
      <c r="CA12" s="43"/>
      <c r="CB12" s="43"/>
      <c r="CC12" s="43"/>
      <c r="CD12" s="43"/>
    </row>
    <row r="13" spans="1:82" ht="14.25" thickBot="1" thickTop="1">
      <c r="A13" s="48" t="s">
        <v>121</v>
      </c>
      <c r="B13" s="52" t="s">
        <v>44</v>
      </c>
      <c r="C13" s="277">
        <f>(9077151-300000)/12</f>
        <v>731429.25</v>
      </c>
      <c r="D13" s="277">
        <f>'[1]EXP'!D22</f>
        <v>957538</v>
      </c>
      <c r="E13" s="277">
        <v>0</v>
      </c>
      <c r="F13" s="277">
        <v>0</v>
      </c>
      <c r="G13" s="277">
        <f>G38+G40</f>
        <v>0</v>
      </c>
      <c r="H13" s="277">
        <v>8616.33</v>
      </c>
      <c r="I13" s="277">
        <f>(731429*2)</f>
        <v>1462858</v>
      </c>
      <c r="J13" s="277">
        <f>'[1]EXP'!D22</f>
        <v>957538</v>
      </c>
      <c r="K13" s="277">
        <v>0</v>
      </c>
      <c r="L13" s="277">
        <v>0</v>
      </c>
      <c r="M13" s="277">
        <f>M38+M40</f>
        <v>0</v>
      </c>
      <c r="N13" s="277">
        <v>8616</v>
      </c>
      <c r="O13" s="277">
        <f>(731429*3)</f>
        <v>2194287</v>
      </c>
      <c r="P13" s="277">
        <f>EXP!D22</f>
        <v>4373198</v>
      </c>
      <c r="Q13" s="277">
        <v>60000</v>
      </c>
      <c r="R13" s="277">
        <v>0</v>
      </c>
      <c r="S13" s="277">
        <f>S38+S40</f>
        <v>0</v>
      </c>
      <c r="T13" s="277">
        <v>16486</v>
      </c>
      <c r="U13" s="277">
        <f>(731429*4)+200000</f>
        <v>3125716</v>
      </c>
      <c r="V13" s="290">
        <f>EXP!D22</f>
        <v>4373198</v>
      </c>
      <c r="W13" s="277">
        <v>60000</v>
      </c>
      <c r="X13" s="277">
        <v>0</v>
      </c>
      <c r="Y13" s="277">
        <f>Y38+Y40</f>
        <v>0</v>
      </c>
      <c r="Z13" s="277">
        <v>16486</v>
      </c>
      <c r="AA13" s="277">
        <f>(731429*5)+200000</f>
        <v>3857145</v>
      </c>
      <c r="AB13" s="290">
        <f>EXP!D22</f>
        <v>4373198</v>
      </c>
      <c r="AC13" s="277">
        <v>240000</v>
      </c>
      <c r="AD13" s="277">
        <v>8460</v>
      </c>
      <c r="AE13" s="277">
        <f>AE38+AE40</f>
        <v>0</v>
      </c>
      <c r="AF13" s="277">
        <v>16486</v>
      </c>
      <c r="AG13" s="277">
        <f>(731429*6)+200000</f>
        <v>4588574</v>
      </c>
      <c r="AH13" s="292">
        <f>EXP!D22</f>
        <v>4373198</v>
      </c>
      <c r="AI13" s="280">
        <v>290000</v>
      </c>
      <c r="AJ13" s="280">
        <v>154265</v>
      </c>
      <c r="AK13" s="277">
        <f>AK38+AK40</f>
        <v>0</v>
      </c>
      <c r="AL13" s="277">
        <v>148504</v>
      </c>
      <c r="AM13" s="277">
        <f>(731429*7)+200000</f>
        <v>5320003</v>
      </c>
      <c r="AN13" s="277"/>
      <c r="AO13" s="277">
        <v>290000</v>
      </c>
      <c r="AP13" s="277"/>
      <c r="AQ13" s="277">
        <f>AQ38+AQ40</f>
        <v>0</v>
      </c>
      <c r="AR13" s="277"/>
      <c r="AS13" s="277">
        <f>(731429*8)+300000</f>
        <v>6151432</v>
      </c>
      <c r="AT13" s="277"/>
      <c r="AU13" s="277">
        <v>290000</v>
      </c>
      <c r="AV13" s="277"/>
      <c r="AW13" s="277">
        <f>AW38+AW40</f>
        <v>0</v>
      </c>
      <c r="AX13" s="277"/>
      <c r="AY13" s="277">
        <f>(731429*9)+300000</f>
        <v>6882861</v>
      </c>
      <c r="AZ13" s="277"/>
      <c r="BA13" s="277">
        <v>340000</v>
      </c>
      <c r="BB13" s="277"/>
      <c r="BC13" s="277">
        <f>BC38+BC40</f>
        <v>0</v>
      </c>
      <c r="BD13" s="277"/>
      <c r="BE13" s="277">
        <f>(731429*10)+300000</f>
        <v>7614290</v>
      </c>
      <c r="BF13" s="277"/>
      <c r="BG13" s="277">
        <v>340000</v>
      </c>
      <c r="BH13" s="277"/>
      <c r="BI13" s="277">
        <f>BI38+BI40</f>
        <v>0</v>
      </c>
      <c r="BJ13" s="277"/>
      <c r="BK13" s="277">
        <f>(731429*11)+300000</f>
        <v>8345719</v>
      </c>
      <c r="BL13" s="277"/>
      <c r="BM13" s="277">
        <v>900000</v>
      </c>
      <c r="BN13" s="277"/>
      <c r="BO13" s="277">
        <f>BO38+BO40</f>
        <v>0</v>
      </c>
      <c r="BP13" s="277"/>
      <c r="BQ13" s="277">
        <f>(731429*12)+300000+3</f>
        <v>9077151</v>
      </c>
      <c r="BR13" s="277"/>
      <c r="BS13" s="277">
        <v>1300000</v>
      </c>
      <c r="BT13" s="277"/>
      <c r="BU13" s="277">
        <f>BU38+BU40</f>
        <v>0</v>
      </c>
      <c r="BV13" s="277"/>
      <c r="BW13" s="277">
        <f t="shared" si="0"/>
        <v>9077151</v>
      </c>
      <c r="BX13" s="278">
        <f t="shared" si="1"/>
        <v>1300000</v>
      </c>
      <c r="BY13" s="279">
        <f t="shared" si="2"/>
        <v>0</v>
      </c>
      <c r="BZ13" s="43"/>
      <c r="CA13" s="43"/>
      <c r="CB13" s="43"/>
      <c r="CC13" s="43"/>
      <c r="CD13" s="43"/>
    </row>
    <row r="14" spans="1:82" ht="14.25" thickBot="1" thickTop="1">
      <c r="A14" s="48" t="s">
        <v>122</v>
      </c>
      <c r="B14" s="52" t="s">
        <v>45</v>
      </c>
      <c r="C14" s="277">
        <f>4868581/12</f>
        <v>405715.0833333333</v>
      </c>
      <c r="D14" s="277">
        <f>'[1]EXP'!D28</f>
        <v>459933</v>
      </c>
      <c r="E14" s="277">
        <v>0</v>
      </c>
      <c r="F14" s="277">
        <v>0</v>
      </c>
      <c r="G14" s="277">
        <v>0</v>
      </c>
      <c r="H14" s="277">
        <v>0</v>
      </c>
      <c r="I14" s="277">
        <f>405715*2</f>
        <v>811430</v>
      </c>
      <c r="J14" s="277">
        <f>'[1]EXP'!D28</f>
        <v>459933</v>
      </c>
      <c r="K14" s="277">
        <v>375000</v>
      </c>
      <c r="L14" s="277">
        <f>'[1]CAP'!D15</f>
        <v>8660</v>
      </c>
      <c r="M14" s="277">
        <v>0</v>
      </c>
      <c r="N14" s="277"/>
      <c r="O14" s="277">
        <f>405715*3</f>
        <v>1217145</v>
      </c>
      <c r="P14" s="277">
        <f>EXP!D28</f>
        <v>1461085</v>
      </c>
      <c r="Q14" s="277">
        <v>1225000</v>
      </c>
      <c r="R14" s="277">
        <v>958327</v>
      </c>
      <c r="S14" s="277">
        <v>0</v>
      </c>
      <c r="T14" s="277">
        <v>0</v>
      </c>
      <c r="U14" s="277">
        <f>405715*4</f>
        <v>1622860</v>
      </c>
      <c r="V14" s="290">
        <f>EXP!D28</f>
        <v>1461085</v>
      </c>
      <c r="W14" s="277">
        <v>1705000</v>
      </c>
      <c r="X14" s="277">
        <v>977792</v>
      </c>
      <c r="Y14" s="277">
        <v>0</v>
      </c>
      <c r="Z14" s="277">
        <v>0</v>
      </c>
      <c r="AA14" s="277">
        <f>405715*5</f>
        <v>2028575</v>
      </c>
      <c r="AB14" s="290">
        <f>EXP!D28</f>
        <v>1461085</v>
      </c>
      <c r="AC14" s="277">
        <v>2760000</v>
      </c>
      <c r="AD14" s="277">
        <v>1215324</v>
      </c>
      <c r="AE14" s="277">
        <v>0</v>
      </c>
      <c r="AF14" s="277">
        <v>0</v>
      </c>
      <c r="AG14" s="277">
        <f>405715*6</f>
        <v>2434290</v>
      </c>
      <c r="AH14" s="292">
        <f>EXP!D28</f>
        <v>1461085</v>
      </c>
      <c r="AI14" s="277">
        <v>2980000</v>
      </c>
      <c r="AJ14" s="277">
        <v>2581146</v>
      </c>
      <c r="AK14" s="277">
        <v>0</v>
      </c>
      <c r="AL14" s="277">
        <v>0</v>
      </c>
      <c r="AM14" s="277">
        <f>405715*7</f>
        <v>2840005</v>
      </c>
      <c r="AN14" s="277"/>
      <c r="AO14" s="277">
        <v>2980000</v>
      </c>
      <c r="AP14" s="277"/>
      <c r="AQ14" s="277">
        <v>0</v>
      </c>
      <c r="AR14" s="277"/>
      <c r="AS14" s="277">
        <f>405715*8</f>
        <v>3245720</v>
      </c>
      <c r="AT14" s="277"/>
      <c r="AU14" s="277">
        <v>3600000</v>
      </c>
      <c r="AV14" s="277"/>
      <c r="AW14" s="277">
        <v>0</v>
      </c>
      <c r="AX14" s="277"/>
      <c r="AY14" s="277">
        <f>405715*9</f>
        <v>3651435</v>
      </c>
      <c r="AZ14" s="277"/>
      <c r="BA14" s="277">
        <v>4000000</v>
      </c>
      <c r="BB14" s="277"/>
      <c r="BC14" s="277">
        <v>0</v>
      </c>
      <c r="BD14" s="277"/>
      <c r="BE14" s="277">
        <f>405715*10</f>
        <v>4057150</v>
      </c>
      <c r="BF14" s="277"/>
      <c r="BG14" s="277">
        <v>4000000</v>
      </c>
      <c r="BH14" s="277"/>
      <c r="BI14" s="277">
        <v>0</v>
      </c>
      <c r="BJ14" s="277"/>
      <c r="BK14" s="277">
        <f>405715*11</f>
        <v>4462865</v>
      </c>
      <c r="BL14" s="277"/>
      <c r="BM14" s="277">
        <v>5187000</v>
      </c>
      <c r="BN14" s="277"/>
      <c r="BO14" s="277">
        <v>0</v>
      </c>
      <c r="BP14" s="277"/>
      <c r="BQ14" s="277">
        <f>(405715*12)+1</f>
        <v>4868581</v>
      </c>
      <c r="BR14" s="277"/>
      <c r="BS14" s="277">
        <v>5187000</v>
      </c>
      <c r="BT14" s="277"/>
      <c r="BU14" s="277">
        <v>0</v>
      </c>
      <c r="BV14" s="277"/>
      <c r="BW14" s="277">
        <f t="shared" si="0"/>
        <v>4868581</v>
      </c>
      <c r="BX14" s="278">
        <f t="shared" si="1"/>
        <v>5187000</v>
      </c>
      <c r="BY14" s="279">
        <f t="shared" si="2"/>
        <v>0</v>
      </c>
      <c r="BZ14" s="43"/>
      <c r="CA14" s="43"/>
      <c r="CB14" s="43"/>
      <c r="CC14" s="43"/>
      <c r="CD14" s="43"/>
    </row>
    <row r="15" spans="1:77" s="43" customFormat="1" ht="14.25" thickBot="1" thickTop="1">
      <c r="A15" s="48" t="s">
        <v>123</v>
      </c>
      <c r="B15" s="52" t="s">
        <v>124</v>
      </c>
      <c r="C15" s="277">
        <f>2926741/12</f>
        <v>243895.08333333334</v>
      </c>
      <c r="D15" s="277">
        <f>'[1]EXP'!D34</f>
        <v>280683</v>
      </c>
      <c r="E15" s="277">
        <v>5100000</v>
      </c>
      <c r="F15" s="277">
        <v>0</v>
      </c>
      <c r="G15" s="277">
        <v>0</v>
      </c>
      <c r="H15" s="277">
        <v>0</v>
      </c>
      <c r="I15" s="277">
        <f>243895*2</f>
        <v>487790</v>
      </c>
      <c r="J15" s="277">
        <f>'[1]EXP'!D34</f>
        <v>280683</v>
      </c>
      <c r="K15" s="277">
        <v>5100000</v>
      </c>
      <c r="L15" s="277">
        <v>0</v>
      </c>
      <c r="M15" s="277">
        <v>0</v>
      </c>
      <c r="N15" s="277"/>
      <c r="O15" s="277">
        <f>243895*3</f>
        <v>731685</v>
      </c>
      <c r="P15" s="277">
        <f>EXP!D34</f>
        <v>888259</v>
      </c>
      <c r="Q15" s="277">
        <v>5600000</v>
      </c>
      <c r="R15" s="277">
        <v>0</v>
      </c>
      <c r="S15" s="277">
        <v>0</v>
      </c>
      <c r="T15" s="277">
        <v>0</v>
      </c>
      <c r="U15" s="277">
        <f>243895*4</f>
        <v>975580</v>
      </c>
      <c r="V15" s="290">
        <f>EXP!D34</f>
        <v>888259</v>
      </c>
      <c r="W15" s="277">
        <v>5750000</v>
      </c>
      <c r="X15" s="277">
        <v>5100000</v>
      </c>
      <c r="Y15" s="277">
        <v>0</v>
      </c>
      <c r="Z15" s="277">
        <v>0</v>
      </c>
      <c r="AA15" s="277">
        <f>243895*5</f>
        <v>1219475</v>
      </c>
      <c r="AB15" s="290">
        <f>EXP!D34</f>
        <v>888259</v>
      </c>
      <c r="AC15" s="277">
        <v>6250000</v>
      </c>
      <c r="AD15" s="277">
        <v>5100000</v>
      </c>
      <c r="AE15" s="277">
        <v>0</v>
      </c>
      <c r="AF15" s="277">
        <v>0</v>
      </c>
      <c r="AG15" s="277">
        <f>243895*6</f>
        <v>1463370</v>
      </c>
      <c r="AH15" s="292">
        <f>EXP!D34</f>
        <v>888259</v>
      </c>
      <c r="AI15" s="277">
        <v>7250000</v>
      </c>
      <c r="AJ15" s="277">
        <v>5100000</v>
      </c>
      <c r="AK15" s="277">
        <v>0</v>
      </c>
      <c r="AL15" s="277">
        <v>0</v>
      </c>
      <c r="AM15" s="277">
        <f>243895*7</f>
        <v>1707265</v>
      </c>
      <c r="AN15" s="277"/>
      <c r="AO15" s="277">
        <v>8400000</v>
      </c>
      <c r="AP15" s="277"/>
      <c r="AQ15" s="277">
        <v>0</v>
      </c>
      <c r="AR15" s="277"/>
      <c r="AS15" s="277">
        <f>243895*8</f>
        <v>1951160</v>
      </c>
      <c r="AT15" s="277"/>
      <c r="AU15" s="277">
        <v>8400000</v>
      </c>
      <c r="AV15" s="277"/>
      <c r="AW15" s="277">
        <v>0</v>
      </c>
      <c r="AX15" s="277"/>
      <c r="AY15" s="277">
        <f>243895*9</f>
        <v>2195055</v>
      </c>
      <c r="AZ15" s="277"/>
      <c r="BA15" s="277">
        <v>9600000</v>
      </c>
      <c r="BB15" s="277"/>
      <c r="BC15" s="277">
        <v>0</v>
      </c>
      <c r="BD15" s="277"/>
      <c r="BE15" s="277">
        <f>243895*10</f>
        <v>2438950</v>
      </c>
      <c r="BF15" s="277"/>
      <c r="BG15" s="277">
        <v>9600000</v>
      </c>
      <c r="BH15" s="277"/>
      <c r="BI15" s="277">
        <v>0</v>
      </c>
      <c r="BJ15" s="277"/>
      <c r="BK15" s="277">
        <f>243895*11</f>
        <v>2682845</v>
      </c>
      <c r="BL15" s="277"/>
      <c r="BM15" s="277">
        <v>9600000</v>
      </c>
      <c r="BN15" s="277"/>
      <c r="BO15" s="277">
        <v>0</v>
      </c>
      <c r="BP15" s="277"/>
      <c r="BQ15" s="277">
        <f>(243895*12)+1</f>
        <v>2926741</v>
      </c>
      <c r="BR15" s="277"/>
      <c r="BS15" s="277">
        <v>10650000</v>
      </c>
      <c r="BT15" s="277"/>
      <c r="BU15" s="277">
        <v>0</v>
      </c>
      <c r="BV15" s="277"/>
      <c r="BW15" s="277">
        <f t="shared" si="0"/>
        <v>2926741</v>
      </c>
      <c r="BX15" s="277">
        <f t="shared" si="1"/>
        <v>10650000</v>
      </c>
      <c r="BY15" s="279">
        <f t="shared" si="2"/>
        <v>0</v>
      </c>
    </row>
    <row r="16" spans="1:77" s="43" customFormat="1" ht="14.25" thickBot="1" thickTop="1">
      <c r="A16" s="48" t="s">
        <v>125</v>
      </c>
      <c r="B16" s="52" t="s">
        <v>48</v>
      </c>
      <c r="C16" s="277">
        <f>((11426880-1050000)/12)+70000</f>
        <v>934740</v>
      </c>
      <c r="D16" s="277">
        <f>'[1]EXP'!D40</f>
        <v>1451230</v>
      </c>
      <c r="E16" s="277">
        <v>110000</v>
      </c>
      <c r="F16" s="277">
        <v>0</v>
      </c>
      <c r="G16" s="277">
        <v>0</v>
      </c>
      <c r="H16" s="277">
        <v>0</v>
      </c>
      <c r="I16" s="277">
        <f>(864740*2)+80000</f>
        <v>1809480</v>
      </c>
      <c r="J16" s="277">
        <f>'[1]EXP'!D40</f>
        <v>1451230</v>
      </c>
      <c r="K16" s="277">
        <v>250000</v>
      </c>
      <c r="L16" s="277">
        <f>'[1]CAP'!D25</f>
        <v>146250</v>
      </c>
      <c r="M16" s="277">
        <v>0</v>
      </c>
      <c r="N16" s="277"/>
      <c r="O16" s="277">
        <f>(864740*3)+190000</f>
        <v>2784220</v>
      </c>
      <c r="P16" s="277">
        <f>EXP!D40</f>
        <v>4754662</v>
      </c>
      <c r="Q16" s="277">
        <v>270000</v>
      </c>
      <c r="R16" s="277">
        <v>185806</v>
      </c>
      <c r="S16" s="277">
        <v>0</v>
      </c>
      <c r="T16" s="277">
        <v>0</v>
      </c>
      <c r="U16" s="277">
        <f>(864740*4)+340000</f>
        <v>3798960</v>
      </c>
      <c r="V16" s="290">
        <f>EXP!D40</f>
        <v>4754662</v>
      </c>
      <c r="W16" s="277">
        <v>320000</v>
      </c>
      <c r="X16" s="279">
        <v>641631</v>
      </c>
      <c r="Y16" s="277">
        <v>0</v>
      </c>
      <c r="Z16" s="277">
        <v>0</v>
      </c>
      <c r="AA16" s="277">
        <f>(864740*5)+370000</f>
        <v>4693700</v>
      </c>
      <c r="AB16" s="290">
        <f>EXP!D40</f>
        <v>4754662</v>
      </c>
      <c r="AC16" s="277">
        <v>370000</v>
      </c>
      <c r="AD16" s="279">
        <v>649525</v>
      </c>
      <c r="AE16" s="277">
        <v>0</v>
      </c>
      <c r="AF16" s="277">
        <v>0</v>
      </c>
      <c r="AG16" s="277">
        <f>(864740*6)+520000</f>
        <v>5708440</v>
      </c>
      <c r="AH16" s="292">
        <f>EXP!D40</f>
        <v>4754662</v>
      </c>
      <c r="AI16" s="277">
        <v>480000</v>
      </c>
      <c r="AJ16" s="279">
        <v>649525</v>
      </c>
      <c r="AK16" s="277">
        <v>0</v>
      </c>
      <c r="AL16" s="277">
        <v>0</v>
      </c>
      <c r="AM16" s="277">
        <f>(864740*7)+640000</f>
        <v>6693180</v>
      </c>
      <c r="AN16" s="277"/>
      <c r="AO16" s="277">
        <v>530000</v>
      </c>
      <c r="AP16" s="279"/>
      <c r="AQ16" s="277">
        <v>0</v>
      </c>
      <c r="AR16" s="277"/>
      <c r="AS16" s="277">
        <f>(864740*8)+680000</f>
        <v>7597920</v>
      </c>
      <c r="AT16" s="277"/>
      <c r="AU16" s="277">
        <v>700000</v>
      </c>
      <c r="AV16" s="279"/>
      <c r="AW16" s="277">
        <v>0</v>
      </c>
      <c r="AX16" s="277"/>
      <c r="AY16" s="277">
        <f>(864740*9)+780000</f>
        <v>8562660</v>
      </c>
      <c r="AZ16" s="277"/>
      <c r="BA16" s="277">
        <v>800000</v>
      </c>
      <c r="BB16" s="279"/>
      <c r="BC16" s="277">
        <v>0</v>
      </c>
      <c r="BD16" s="277"/>
      <c r="BE16" s="277">
        <f>(864740*10)+880000</f>
        <v>9527400</v>
      </c>
      <c r="BF16" s="277"/>
      <c r="BG16" s="277">
        <v>1150000</v>
      </c>
      <c r="BH16" s="279"/>
      <c r="BI16" s="277">
        <v>0</v>
      </c>
      <c r="BJ16" s="277"/>
      <c r="BK16" s="277">
        <f>(864740*11)+900000</f>
        <v>10412140</v>
      </c>
      <c r="BL16" s="277"/>
      <c r="BM16" s="277">
        <v>1300000</v>
      </c>
      <c r="BN16" s="279"/>
      <c r="BO16" s="277">
        <v>0</v>
      </c>
      <c r="BP16" s="277"/>
      <c r="BQ16" s="277">
        <f>(864740*12)+1050000</f>
        <v>11426880</v>
      </c>
      <c r="BR16" s="277"/>
      <c r="BS16" s="277">
        <v>1900000</v>
      </c>
      <c r="BT16" s="279"/>
      <c r="BU16" s="277">
        <v>0</v>
      </c>
      <c r="BV16" s="277"/>
      <c r="BW16" s="277">
        <f t="shared" si="0"/>
        <v>11426880</v>
      </c>
      <c r="BX16" s="277">
        <f t="shared" si="1"/>
        <v>1900000</v>
      </c>
      <c r="BY16" s="279">
        <f t="shared" si="2"/>
        <v>0</v>
      </c>
    </row>
    <row r="17" spans="1:77" s="43" customFormat="1" ht="14.25" thickBot="1" thickTop="1">
      <c r="A17" s="48" t="s">
        <v>126</v>
      </c>
      <c r="B17" s="52" t="s">
        <v>50</v>
      </c>
      <c r="C17" s="277">
        <f>2308285/12</f>
        <v>192357.08333333334</v>
      </c>
      <c r="D17" s="277">
        <f>'[1]EXP'!D47</f>
        <v>385727</v>
      </c>
      <c r="E17" s="277">
        <v>0</v>
      </c>
      <c r="F17" s="277">
        <v>0</v>
      </c>
      <c r="G17" s="277">
        <v>0</v>
      </c>
      <c r="H17" s="277">
        <v>0</v>
      </c>
      <c r="I17" s="277">
        <f>192357*2</f>
        <v>384714</v>
      </c>
      <c r="J17" s="277">
        <f>'[1]EXP'!D47</f>
        <v>385727</v>
      </c>
      <c r="K17" s="277">
        <v>0</v>
      </c>
      <c r="L17" s="277">
        <v>0</v>
      </c>
      <c r="M17" s="277">
        <v>0</v>
      </c>
      <c r="N17" s="277"/>
      <c r="O17" s="277">
        <f>192357*3</f>
        <v>577071</v>
      </c>
      <c r="P17" s="277">
        <f>EXP!D47</f>
        <v>1385262</v>
      </c>
      <c r="Q17" s="277">
        <v>10000</v>
      </c>
      <c r="R17" s="277">
        <v>7782</v>
      </c>
      <c r="S17" s="277">
        <v>0</v>
      </c>
      <c r="T17" s="277">
        <v>0</v>
      </c>
      <c r="U17" s="277">
        <f>192357*4</f>
        <v>769428</v>
      </c>
      <c r="V17" s="290">
        <f>EXP!D47</f>
        <v>1385262</v>
      </c>
      <c r="W17" s="277">
        <v>10000</v>
      </c>
      <c r="X17" s="279">
        <v>7783</v>
      </c>
      <c r="Y17" s="277">
        <v>0</v>
      </c>
      <c r="Z17" s="277">
        <v>0</v>
      </c>
      <c r="AA17" s="277">
        <f>192357*5</f>
        <v>961785</v>
      </c>
      <c r="AB17" s="290">
        <f>EXP!D47</f>
        <v>1385262</v>
      </c>
      <c r="AC17" s="277">
        <v>10000</v>
      </c>
      <c r="AD17" s="279">
        <v>3892</v>
      </c>
      <c r="AE17" s="277">
        <v>0</v>
      </c>
      <c r="AF17" s="277">
        <v>0</v>
      </c>
      <c r="AG17" s="277">
        <f>192357*6</f>
        <v>1154142</v>
      </c>
      <c r="AH17" s="292">
        <f>EXP!D47</f>
        <v>1385262</v>
      </c>
      <c r="AI17" s="277">
        <v>10000</v>
      </c>
      <c r="AJ17" s="279">
        <v>3892</v>
      </c>
      <c r="AK17" s="277">
        <v>0</v>
      </c>
      <c r="AL17" s="277">
        <v>0</v>
      </c>
      <c r="AM17" s="277">
        <f>192357*7</f>
        <v>1346499</v>
      </c>
      <c r="AN17" s="277"/>
      <c r="AO17" s="277">
        <v>10000</v>
      </c>
      <c r="AP17" s="279"/>
      <c r="AQ17" s="277">
        <v>0</v>
      </c>
      <c r="AR17" s="277"/>
      <c r="AS17" s="277">
        <f>192357*8</f>
        <v>1538856</v>
      </c>
      <c r="AT17" s="277"/>
      <c r="AU17" s="277">
        <v>10000</v>
      </c>
      <c r="AV17" s="279"/>
      <c r="AW17" s="277">
        <v>0</v>
      </c>
      <c r="AX17" s="277"/>
      <c r="AY17" s="277">
        <f>192357*9</f>
        <v>1731213</v>
      </c>
      <c r="AZ17" s="277"/>
      <c r="BA17" s="277">
        <v>10000</v>
      </c>
      <c r="BB17" s="279"/>
      <c r="BC17" s="277">
        <v>0</v>
      </c>
      <c r="BD17" s="277"/>
      <c r="BE17" s="277">
        <f>192357*10</f>
        <v>1923570</v>
      </c>
      <c r="BF17" s="277"/>
      <c r="BG17" s="277">
        <v>10000</v>
      </c>
      <c r="BH17" s="279"/>
      <c r="BI17" s="277">
        <v>0</v>
      </c>
      <c r="BJ17" s="277"/>
      <c r="BK17" s="277">
        <f>192357*11</f>
        <v>2115927</v>
      </c>
      <c r="BL17" s="277"/>
      <c r="BM17" s="277">
        <v>500000</v>
      </c>
      <c r="BN17" s="279"/>
      <c r="BO17" s="277">
        <v>0</v>
      </c>
      <c r="BP17" s="277"/>
      <c r="BQ17" s="277">
        <f>(192357*12)+1</f>
        <v>2308285</v>
      </c>
      <c r="BR17" s="277"/>
      <c r="BS17" s="277">
        <v>500000</v>
      </c>
      <c r="BT17" s="279"/>
      <c r="BU17" s="277">
        <v>0</v>
      </c>
      <c r="BV17" s="277"/>
      <c r="BW17" s="277">
        <f t="shared" si="0"/>
        <v>2308285</v>
      </c>
      <c r="BX17" s="277">
        <f t="shared" si="1"/>
        <v>500000</v>
      </c>
      <c r="BY17" s="279">
        <f t="shared" si="2"/>
        <v>0</v>
      </c>
    </row>
    <row r="18" spans="1:77" s="43" customFormat="1" ht="15" thickBot="1" thickTop="1">
      <c r="A18" s="48" t="s">
        <v>127</v>
      </c>
      <c r="B18" s="52" t="s">
        <v>25</v>
      </c>
      <c r="C18" s="277">
        <f>5610320/12</f>
        <v>467526.6666666667</v>
      </c>
      <c r="D18" s="277">
        <f>'[1]EXP'!D53</f>
        <v>128731</v>
      </c>
      <c r="E18" s="281">
        <v>0</v>
      </c>
      <c r="F18" s="280">
        <v>0</v>
      </c>
      <c r="G18" s="277">
        <f>G33</f>
        <v>4040</v>
      </c>
      <c r="H18" s="277">
        <v>0</v>
      </c>
      <c r="I18" s="277">
        <f>467527*2</f>
        <v>935054</v>
      </c>
      <c r="J18" s="277">
        <f>'[1]EXP'!D53</f>
        <v>128731</v>
      </c>
      <c r="K18" s="281">
        <v>0</v>
      </c>
      <c r="L18" s="280">
        <v>0</v>
      </c>
      <c r="M18" s="277">
        <f>M33</f>
        <v>8080</v>
      </c>
      <c r="N18" s="277"/>
      <c r="O18" s="277">
        <f>467527*3</f>
        <v>1402581</v>
      </c>
      <c r="P18" s="277">
        <f>EXP!D53</f>
        <v>1288403</v>
      </c>
      <c r="Q18" s="281">
        <v>0</v>
      </c>
      <c r="R18" s="280">
        <v>0</v>
      </c>
      <c r="S18" s="277">
        <f>S33</f>
        <v>18620</v>
      </c>
      <c r="T18" s="277">
        <v>0</v>
      </c>
      <c r="U18" s="277">
        <f>467527*4</f>
        <v>1870108</v>
      </c>
      <c r="V18" s="290">
        <f>EXP!D53</f>
        <v>1288403</v>
      </c>
      <c r="W18" s="281">
        <v>0</v>
      </c>
      <c r="X18" s="280"/>
      <c r="Y18" s="277">
        <f>Y33</f>
        <v>26660</v>
      </c>
      <c r="Z18" s="277">
        <v>0</v>
      </c>
      <c r="AA18" s="277">
        <f>467527*5</f>
        <v>2337635</v>
      </c>
      <c r="AB18" s="290">
        <f>EXP!D53</f>
        <v>1288403</v>
      </c>
      <c r="AC18" s="281">
        <v>0</v>
      </c>
      <c r="AD18" s="277">
        <v>0</v>
      </c>
      <c r="AE18" s="277">
        <f>AE33</f>
        <v>34700</v>
      </c>
      <c r="AF18" s="277">
        <v>19380</v>
      </c>
      <c r="AG18" s="277">
        <f>467527*6</f>
        <v>2805162</v>
      </c>
      <c r="AH18" s="292">
        <f>EXP!D53</f>
        <v>1288403</v>
      </c>
      <c r="AI18" s="281">
        <v>0</v>
      </c>
      <c r="AJ18" s="277">
        <v>0</v>
      </c>
      <c r="AK18" s="277">
        <f>AK33</f>
        <v>42740</v>
      </c>
      <c r="AL18" s="277">
        <v>22674</v>
      </c>
      <c r="AM18" s="277">
        <f>467527*7</f>
        <v>3272689</v>
      </c>
      <c r="AN18" s="277"/>
      <c r="AO18" s="281">
        <v>0</v>
      </c>
      <c r="AP18" s="280"/>
      <c r="AQ18" s="277">
        <f>AQ33</f>
        <v>50780</v>
      </c>
      <c r="AR18" s="277"/>
      <c r="AS18" s="277">
        <f>467527*8</f>
        <v>3740216</v>
      </c>
      <c r="AT18" s="277"/>
      <c r="AU18" s="281">
        <v>0</v>
      </c>
      <c r="AV18" s="280"/>
      <c r="AW18" s="277">
        <f>AW33</f>
        <v>58820</v>
      </c>
      <c r="AX18" s="277"/>
      <c r="AY18" s="277">
        <f>467527*9</f>
        <v>4207743</v>
      </c>
      <c r="AZ18" s="277"/>
      <c r="BA18" s="281">
        <v>0</v>
      </c>
      <c r="BB18" s="280"/>
      <c r="BC18" s="277">
        <f>BC33</f>
        <v>66860</v>
      </c>
      <c r="BD18" s="277"/>
      <c r="BE18" s="277">
        <f>467527*10</f>
        <v>4675270</v>
      </c>
      <c r="BF18" s="277"/>
      <c r="BG18" s="281">
        <v>0</v>
      </c>
      <c r="BH18" s="280"/>
      <c r="BI18" s="277">
        <f>BI33</f>
        <v>74900</v>
      </c>
      <c r="BJ18" s="277"/>
      <c r="BK18" s="277">
        <f>467527*11</f>
        <v>5142797</v>
      </c>
      <c r="BL18" s="277"/>
      <c r="BM18" s="281">
        <v>0</v>
      </c>
      <c r="BN18" s="280"/>
      <c r="BO18" s="277">
        <f>BO33</f>
        <v>82940</v>
      </c>
      <c r="BP18" s="277"/>
      <c r="BQ18" s="277">
        <f>(467527*12)-4</f>
        <v>5610320</v>
      </c>
      <c r="BR18" s="277"/>
      <c r="BS18" s="281">
        <v>0</v>
      </c>
      <c r="BT18" s="280"/>
      <c r="BU18" s="277">
        <f>BU33</f>
        <v>90000</v>
      </c>
      <c r="BV18" s="277"/>
      <c r="BW18" s="277">
        <f t="shared" si="0"/>
        <v>5610320</v>
      </c>
      <c r="BX18" s="277">
        <f t="shared" si="1"/>
        <v>0</v>
      </c>
      <c r="BY18" s="279">
        <f t="shared" si="2"/>
        <v>90000</v>
      </c>
    </row>
    <row r="19" spans="1:77" s="43" customFormat="1" ht="14.25" thickBot="1" thickTop="1">
      <c r="A19" s="48" t="s">
        <v>128</v>
      </c>
      <c r="B19" s="52" t="s">
        <v>129</v>
      </c>
      <c r="C19" s="277">
        <f>10088128/12</f>
        <v>840677.3333333334</v>
      </c>
      <c r="D19" s="277">
        <f>'[1]EXP'!D61</f>
        <v>1326161</v>
      </c>
      <c r="E19" s="282">
        <v>10000</v>
      </c>
      <c r="F19" s="277">
        <v>0</v>
      </c>
      <c r="G19" s="277">
        <f>G37</f>
        <v>0</v>
      </c>
      <c r="H19" s="277">
        <v>1159834</v>
      </c>
      <c r="I19" s="277">
        <f>840677*2</f>
        <v>1681354</v>
      </c>
      <c r="J19" s="277">
        <f>'[1]EXP'!D61</f>
        <v>1326161</v>
      </c>
      <c r="K19" s="282">
        <v>0</v>
      </c>
      <c r="L19" s="277">
        <v>0</v>
      </c>
      <c r="M19" s="277">
        <f>M37</f>
        <v>0</v>
      </c>
      <c r="N19" s="277">
        <v>1326161</v>
      </c>
      <c r="O19" s="277">
        <f>840677*3</f>
        <v>2522031</v>
      </c>
      <c r="P19" s="277">
        <f>EXP!D61</f>
        <v>3608374</v>
      </c>
      <c r="Q19" s="282">
        <v>10000</v>
      </c>
      <c r="R19" s="277">
        <v>0</v>
      </c>
      <c r="S19" s="277">
        <f>S37</f>
        <v>0</v>
      </c>
      <c r="T19" s="277">
        <v>1159834</v>
      </c>
      <c r="U19" s="277">
        <f>840677*4</f>
        <v>3362708</v>
      </c>
      <c r="V19" s="290">
        <f>EXP!D61</f>
        <v>3608374</v>
      </c>
      <c r="W19" s="282">
        <v>10000</v>
      </c>
      <c r="X19" s="277"/>
      <c r="Y19" s="277">
        <f>Y37</f>
        <v>0</v>
      </c>
      <c r="Z19" s="277">
        <v>1159834</v>
      </c>
      <c r="AA19" s="277">
        <f>840677*5</f>
        <v>4203385</v>
      </c>
      <c r="AB19" s="290">
        <f>EXP!D61</f>
        <v>3608374</v>
      </c>
      <c r="AC19" s="282">
        <v>10000</v>
      </c>
      <c r="AD19" s="277">
        <v>3892</v>
      </c>
      <c r="AE19" s="277">
        <f>AE37</f>
        <v>0</v>
      </c>
      <c r="AF19" s="277">
        <v>1159834</v>
      </c>
      <c r="AG19" s="277">
        <f>840677*6</f>
        <v>5044062</v>
      </c>
      <c r="AH19" s="292">
        <f>EXP!D61</f>
        <v>3608374</v>
      </c>
      <c r="AI19" s="282">
        <v>10000</v>
      </c>
      <c r="AJ19" s="277">
        <v>3892</v>
      </c>
      <c r="AK19" s="277">
        <f>AK37</f>
        <v>0</v>
      </c>
      <c r="AL19" s="277">
        <v>1159834</v>
      </c>
      <c r="AM19" s="277">
        <f>840677*7</f>
        <v>5884739</v>
      </c>
      <c r="AN19" s="277"/>
      <c r="AO19" s="282">
        <v>10000</v>
      </c>
      <c r="AP19" s="277"/>
      <c r="AQ19" s="277">
        <f>AQ37</f>
        <v>0</v>
      </c>
      <c r="AR19" s="277"/>
      <c r="AS19" s="277">
        <f>840677*8</f>
        <v>6725416</v>
      </c>
      <c r="AT19" s="277"/>
      <c r="AU19" s="282">
        <v>10000</v>
      </c>
      <c r="AV19" s="277"/>
      <c r="AW19" s="277">
        <f>AW37</f>
        <v>0</v>
      </c>
      <c r="AX19" s="277"/>
      <c r="AY19" s="277">
        <f>840677*9</f>
        <v>7566093</v>
      </c>
      <c r="AZ19" s="277"/>
      <c r="BA19" s="282">
        <v>10000</v>
      </c>
      <c r="BB19" s="277"/>
      <c r="BC19" s="277">
        <f>BC37</f>
        <v>0</v>
      </c>
      <c r="BD19" s="277"/>
      <c r="BE19" s="277">
        <f>840677*10</f>
        <v>8406770</v>
      </c>
      <c r="BF19" s="277"/>
      <c r="BG19" s="282">
        <v>10000</v>
      </c>
      <c r="BH19" s="277"/>
      <c r="BI19" s="277">
        <f>BI37</f>
        <v>0</v>
      </c>
      <c r="BJ19" s="277"/>
      <c r="BK19" s="277">
        <f>840677*11</f>
        <v>9247447</v>
      </c>
      <c r="BL19" s="277"/>
      <c r="BM19" s="282">
        <v>500000</v>
      </c>
      <c r="BN19" s="277"/>
      <c r="BO19" s="277">
        <f>BO37</f>
        <v>0</v>
      </c>
      <c r="BP19" s="277"/>
      <c r="BQ19" s="277">
        <f>(840677*12)+4</f>
        <v>10088128</v>
      </c>
      <c r="BR19" s="277"/>
      <c r="BS19" s="282">
        <v>500000</v>
      </c>
      <c r="BT19" s="277"/>
      <c r="BU19" s="277">
        <f>BU37</f>
        <v>0</v>
      </c>
      <c r="BV19" s="277"/>
      <c r="BW19" s="277">
        <f t="shared" si="0"/>
        <v>10088128</v>
      </c>
      <c r="BX19" s="277">
        <f t="shared" si="1"/>
        <v>500000</v>
      </c>
      <c r="BY19" s="279">
        <f t="shared" si="2"/>
        <v>0</v>
      </c>
    </row>
    <row r="20" spans="1:77" s="43" customFormat="1" ht="14.25" thickBot="1" thickTop="1">
      <c r="A20" s="48" t="s">
        <v>130</v>
      </c>
      <c r="B20" s="52" t="s">
        <v>58</v>
      </c>
      <c r="C20" s="277">
        <f>3062705/12</f>
        <v>255225.41666666666</v>
      </c>
      <c r="D20" s="277">
        <f>'[1]EXP'!D69</f>
        <v>389029</v>
      </c>
      <c r="E20" s="277">
        <v>0</v>
      </c>
      <c r="F20" s="277">
        <v>0</v>
      </c>
      <c r="G20" s="277">
        <f>G28+G30</f>
        <v>130000</v>
      </c>
      <c r="H20" s="277">
        <v>137577.77</v>
      </c>
      <c r="I20" s="277">
        <f>255225*2</f>
        <v>510450</v>
      </c>
      <c r="J20" s="277">
        <f>'[1]EXP'!D69</f>
        <v>389029</v>
      </c>
      <c r="K20" s="277">
        <v>0</v>
      </c>
      <c r="L20" s="277">
        <v>0</v>
      </c>
      <c r="M20" s="277">
        <f>M28+M30</f>
        <v>270000</v>
      </c>
      <c r="N20" s="277">
        <v>226791</v>
      </c>
      <c r="O20" s="277">
        <f>255225*3</f>
        <v>765675</v>
      </c>
      <c r="P20" s="277">
        <f>EXP!D69</f>
        <v>1223229</v>
      </c>
      <c r="Q20" s="277">
        <v>0</v>
      </c>
      <c r="R20" s="277">
        <v>0</v>
      </c>
      <c r="S20" s="277">
        <f>S28+S30</f>
        <v>420000</v>
      </c>
      <c r="T20" s="277">
        <v>336411</v>
      </c>
      <c r="U20" s="277">
        <f>255225*4</f>
        <v>1020900</v>
      </c>
      <c r="V20" s="290">
        <f>EXP!D69</f>
        <v>1223229</v>
      </c>
      <c r="W20" s="277">
        <v>0</v>
      </c>
      <c r="X20" s="277"/>
      <c r="Y20" s="277">
        <f>Y28+Y30</f>
        <v>580000</v>
      </c>
      <c r="Z20" s="277">
        <v>423276</v>
      </c>
      <c r="AA20" s="277">
        <f>255225*5</f>
        <v>1276125</v>
      </c>
      <c r="AB20" s="290">
        <f>EXP!D69</f>
        <v>1223229</v>
      </c>
      <c r="AC20" s="277">
        <v>0</v>
      </c>
      <c r="AD20" s="277">
        <v>0</v>
      </c>
      <c r="AE20" s="277">
        <f>AE28+AE30</f>
        <v>758300</v>
      </c>
      <c r="AF20" s="277">
        <v>523092</v>
      </c>
      <c r="AG20" s="277">
        <f>255225*6</f>
        <v>1531350</v>
      </c>
      <c r="AH20" s="292">
        <f>EXP!D69</f>
        <v>1223229</v>
      </c>
      <c r="AI20" s="277">
        <v>0</v>
      </c>
      <c r="AJ20" s="277">
        <v>0</v>
      </c>
      <c r="AK20" s="277">
        <f>AK28+AK30</f>
        <v>978300</v>
      </c>
      <c r="AL20" s="277">
        <v>630679</v>
      </c>
      <c r="AM20" s="277">
        <f>255225*7</f>
        <v>1786575</v>
      </c>
      <c r="AN20" s="277"/>
      <c r="AO20" s="277">
        <v>0</v>
      </c>
      <c r="AP20" s="277"/>
      <c r="AQ20" s="277">
        <f>AQ28+AQ30</f>
        <v>1118300</v>
      </c>
      <c r="AR20" s="277"/>
      <c r="AS20" s="277">
        <f>255225*8</f>
        <v>2041800</v>
      </c>
      <c r="AT20" s="277"/>
      <c r="AU20" s="277">
        <v>0</v>
      </c>
      <c r="AV20" s="277"/>
      <c r="AW20" s="277">
        <f>AW28+AW30</f>
        <v>1248300</v>
      </c>
      <c r="AX20" s="277"/>
      <c r="AY20" s="277">
        <f>255225*9</f>
        <v>2297025</v>
      </c>
      <c r="AZ20" s="277"/>
      <c r="BA20" s="277">
        <v>0</v>
      </c>
      <c r="BB20" s="277"/>
      <c r="BC20" s="277">
        <f>BC28+BC30</f>
        <v>1388300</v>
      </c>
      <c r="BD20" s="277"/>
      <c r="BE20" s="277">
        <f>255225*10</f>
        <v>2552250</v>
      </c>
      <c r="BF20" s="277"/>
      <c r="BG20" s="277">
        <v>0</v>
      </c>
      <c r="BH20" s="277"/>
      <c r="BI20" s="277">
        <f>BI28+BI30</f>
        <v>1518300</v>
      </c>
      <c r="BJ20" s="277"/>
      <c r="BK20" s="277">
        <f>255225*11</f>
        <v>2807475</v>
      </c>
      <c r="BL20" s="277"/>
      <c r="BM20" s="277">
        <v>0</v>
      </c>
      <c r="BN20" s="277"/>
      <c r="BO20" s="277">
        <f>BO28+BO30</f>
        <v>1658300</v>
      </c>
      <c r="BP20" s="277"/>
      <c r="BQ20" s="277">
        <f>(255225*12)+5</f>
        <v>3062705</v>
      </c>
      <c r="BR20" s="277"/>
      <c r="BS20" s="277">
        <v>0</v>
      </c>
      <c r="BT20" s="277"/>
      <c r="BU20" s="277">
        <f>BU28+BU30</f>
        <v>1808300</v>
      </c>
      <c r="BV20" s="277"/>
      <c r="BW20" s="277">
        <f t="shared" si="0"/>
        <v>3062705</v>
      </c>
      <c r="BX20" s="277">
        <f t="shared" si="1"/>
        <v>0</v>
      </c>
      <c r="BY20" s="279">
        <f t="shared" si="2"/>
        <v>1808300</v>
      </c>
    </row>
    <row r="21" spans="1:216" s="61" customFormat="1" ht="15" thickBot="1" thickTop="1">
      <c r="A21" s="55"/>
      <c r="B21" s="56" t="s">
        <v>131</v>
      </c>
      <c r="C21" s="57">
        <f>SUM(C11:C20)</f>
        <v>4975123.25</v>
      </c>
      <c r="D21" s="57">
        <f>SUM(D11:D20)</f>
        <v>6651180</v>
      </c>
      <c r="E21" s="283">
        <f>SUM(E10:E20)</f>
        <v>5220000</v>
      </c>
      <c r="F21" s="283">
        <f>SUM(F10:F20)</f>
        <v>0</v>
      </c>
      <c r="G21" s="283">
        <f>SUM(G10:G20)</f>
        <v>23781202</v>
      </c>
      <c r="H21" s="283">
        <f>SUM(H10:H20)</f>
        <v>26158067.099999998</v>
      </c>
      <c r="I21" s="58">
        <f aca="true" t="shared" si="3" ref="I21:P21">SUM(I11:I20)</f>
        <v>9920244.5</v>
      </c>
      <c r="J21" s="58">
        <f t="shared" si="3"/>
        <v>6651180</v>
      </c>
      <c r="K21" s="283">
        <f t="shared" si="3"/>
        <v>5755000</v>
      </c>
      <c r="L21" s="283">
        <f t="shared" si="3"/>
        <v>154910</v>
      </c>
      <c r="M21" s="283">
        <f t="shared" si="3"/>
        <v>24476202</v>
      </c>
      <c r="N21" s="283">
        <f t="shared" si="3"/>
        <v>26189729</v>
      </c>
      <c r="O21" s="58">
        <f t="shared" si="3"/>
        <v>14995366.75</v>
      </c>
      <c r="P21" s="283">
        <f t="shared" si="3"/>
        <v>23722514</v>
      </c>
      <c r="Q21" s="283">
        <f>SUM(Q10:Q20)</f>
        <v>7205000</v>
      </c>
      <c r="R21" s="283">
        <f>SUM(R11:R20)</f>
        <v>1151915</v>
      </c>
      <c r="S21" s="283">
        <f>SUM(S10:S20)</f>
        <v>25137702</v>
      </c>
      <c r="T21" s="283">
        <f>SUM(T11:T20)</f>
        <v>27376946</v>
      </c>
      <c r="U21" s="58">
        <f>SUM(U11:U20)</f>
        <v>20245489</v>
      </c>
      <c r="V21" s="283">
        <f>SUM(V11:V20)</f>
        <v>20781411</v>
      </c>
      <c r="W21" s="283">
        <f>SUM(W10:W20)</f>
        <v>7885000</v>
      </c>
      <c r="X21" s="283">
        <f>SUM(X11:X20)</f>
        <v>6727206</v>
      </c>
      <c r="Y21" s="283">
        <f>SUM(Y10:Y20)</f>
        <v>25756702</v>
      </c>
      <c r="Z21" s="283">
        <f>SUM(Z11:Z20)</f>
        <v>28491783</v>
      </c>
      <c r="AA21" s="58">
        <f>SUM(AA11:AA20)</f>
        <v>25175611.25</v>
      </c>
      <c r="AB21" s="283">
        <f>SUM(AB11:AB20)</f>
        <v>23722514</v>
      </c>
      <c r="AC21" s="283">
        <f>SUM(AC10:AC20)</f>
        <v>9670000</v>
      </c>
      <c r="AD21" s="283">
        <f>SUM(AD11:AD20)</f>
        <v>6981093</v>
      </c>
      <c r="AE21" s="283">
        <f>SUM(AE10:AE20)</f>
        <v>43870528</v>
      </c>
      <c r="AF21" s="283">
        <f>SUM(AF11:AF20)</f>
        <v>46678978</v>
      </c>
      <c r="AG21" s="57">
        <f>SUM(AG11:AG20)</f>
        <v>30335733.5</v>
      </c>
      <c r="AH21" s="283">
        <f>SUM(AH11:AH20)</f>
        <v>23722514</v>
      </c>
      <c r="AI21" s="283">
        <f>SUM(AI10:AI20)</f>
        <v>12140000</v>
      </c>
      <c r="AJ21" s="283">
        <f>SUM(AJ11:AJ20)</f>
        <v>8492720</v>
      </c>
      <c r="AK21" s="283">
        <f>SUM(AK10:AK20)</f>
        <v>44499528</v>
      </c>
      <c r="AL21" s="283">
        <f>SUM(AL11:AL20)</f>
        <v>47694490</v>
      </c>
      <c r="AM21" s="57">
        <f>(C21*7)</f>
        <v>34825862.75</v>
      </c>
      <c r="AN21" s="283"/>
      <c r="AO21" s="283">
        <f>SUM(AO10:AO20)</f>
        <v>13340000</v>
      </c>
      <c r="AP21" s="283"/>
      <c r="AQ21" s="283">
        <f>SUM(AQ10:AQ20)</f>
        <v>44998528</v>
      </c>
      <c r="AR21" s="283"/>
      <c r="AS21" s="57">
        <f>(C21*8)</f>
        <v>39800986</v>
      </c>
      <c r="AT21" s="283"/>
      <c r="AU21" s="283">
        <f>SUM(AU10:AU20)</f>
        <v>14130000</v>
      </c>
      <c r="AV21" s="283"/>
      <c r="AW21" s="283">
        <f>SUM(AW10:AW20)</f>
        <v>73585800</v>
      </c>
      <c r="AX21" s="283"/>
      <c r="AY21" s="57">
        <f>(C21*9)</f>
        <v>44776109.25</v>
      </c>
      <c r="AZ21" s="283"/>
      <c r="BA21" s="283">
        <f>SUM(BA10:BA20)</f>
        <v>15880000</v>
      </c>
      <c r="BB21" s="283"/>
      <c r="BC21" s="283">
        <f>SUM(BC10:BC20)</f>
        <v>74034800</v>
      </c>
      <c r="BD21" s="283"/>
      <c r="BE21" s="57">
        <f>(C21*10)</f>
        <v>49751232.5</v>
      </c>
      <c r="BF21" s="283"/>
      <c r="BG21" s="283">
        <f>SUM(BG10:BG20)</f>
        <v>16230000</v>
      </c>
      <c r="BH21" s="283"/>
      <c r="BI21" s="283">
        <f>SUM(BI10:BI20)</f>
        <v>74473800</v>
      </c>
      <c r="BJ21" s="283"/>
      <c r="BK21" s="57">
        <f>(C21*11)</f>
        <v>54726355.75</v>
      </c>
      <c r="BL21" s="283"/>
      <c r="BM21" s="283">
        <f>SUM(BM10:BM20)</f>
        <v>21597000</v>
      </c>
      <c r="BN21" s="283"/>
      <c r="BO21" s="283">
        <f>SUM(BO10:BO20)</f>
        <v>74872800</v>
      </c>
      <c r="BP21" s="283"/>
      <c r="BQ21" s="284">
        <f>SUM(BQ10:BQ20)</f>
        <v>60822479</v>
      </c>
      <c r="BR21" s="283"/>
      <c r="BS21" s="283">
        <f>SUM(BS10:BS20)</f>
        <v>24737000</v>
      </c>
      <c r="BT21" s="283"/>
      <c r="BU21" s="283">
        <f>SUM(BU10:BU20)</f>
        <v>75280800</v>
      </c>
      <c r="BV21" s="283"/>
      <c r="BW21" s="283">
        <f>SUM(BW10:BW20)</f>
        <v>60822479</v>
      </c>
      <c r="BX21" s="57">
        <f>SUM(BX10:BX20)</f>
        <v>24737000</v>
      </c>
      <c r="BY21" s="59">
        <f>SUM(BY10:BY20)</f>
        <v>75280800</v>
      </c>
      <c r="BZ21" s="60"/>
      <c r="CA21" s="261" t="s">
        <v>132</v>
      </c>
      <c r="CB21" s="262" t="s">
        <v>133</v>
      </c>
      <c r="CC21" s="262" t="s">
        <v>134</v>
      </c>
      <c r="CD21" s="263" t="s">
        <v>135</v>
      </c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</row>
    <row r="22" spans="1:216" s="66" customFormat="1" ht="14.25" thickBot="1" thickTop="1">
      <c r="A22" s="62"/>
      <c r="B22" s="63"/>
      <c r="C22" s="310">
        <f>C21+E21</f>
        <v>10195123.25</v>
      </c>
      <c r="D22" s="313"/>
      <c r="E22" s="311"/>
      <c r="F22" s="64"/>
      <c r="G22" s="58">
        <f>G42</f>
        <v>23781202</v>
      </c>
      <c r="H22" s="64"/>
      <c r="I22" s="310">
        <f>I21+K21</f>
        <v>15675244.5</v>
      </c>
      <c r="J22" s="313"/>
      <c r="K22" s="311"/>
      <c r="L22" s="64"/>
      <c r="M22" s="58">
        <f>M42</f>
        <v>24476202</v>
      </c>
      <c r="N22" s="64"/>
      <c r="O22" s="310">
        <f>O21+Q21</f>
        <v>22200366.75</v>
      </c>
      <c r="P22" s="313"/>
      <c r="Q22" s="311"/>
      <c r="R22" s="64"/>
      <c r="S22" s="58">
        <f>S42</f>
        <v>25137702</v>
      </c>
      <c r="T22" s="64"/>
      <c r="U22" s="310">
        <f>U21+W21</f>
        <v>28130489</v>
      </c>
      <c r="V22" s="313"/>
      <c r="W22" s="311"/>
      <c r="X22" s="64"/>
      <c r="Y22" s="58">
        <f>Y42</f>
        <v>25756702</v>
      </c>
      <c r="Z22" s="64"/>
      <c r="AA22" s="310">
        <f>AA21+AC21</f>
        <v>34845611.25</v>
      </c>
      <c r="AB22" s="313"/>
      <c r="AC22" s="311"/>
      <c r="AD22" s="64"/>
      <c r="AE22" s="58">
        <f>AE42</f>
        <v>43870528</v>
      </c>
      <c r="AF22" s="64"/>
      <c r="AG22" s="310">
        <f>AG21+AI21</f>
        <v>42475733.5</v>
      </c>
      <c r="AH22" s="313"/>
      <c r="AI22" s="311"/>
      <c r="AJ22" s="64"/>
      <c r="AK22" s="58">
        <f>AK42</f>
        <v>44499528</v>
      </c>
      <c r="AL22" s="64"/>
      <c r="AM22" s="310">
        <f>AM21+AO21</f>
        <v>48165862.75</v>
      </c>
      <c r="AN22" s="313"/>
      <c r="AO22" s="311"/>
      <c r="AP22" s="64"/>
      <c r="AQ22" s="58">
        <f>AQ42</f>
        <v>44998528</v>
      </c>
      <c r="AR22" s="64"/>
      <c r="AS22" s="310">
        <f>AS21+AU21</f>
        <v>53930986</v>
      </c>
      <c r="AT22" s="313"/>
      <c r="AU22" s="311"/>
      <c r="AV22" s="64"/>
      <c r="AW22" s="58">
        <f>AW42</f>
        <v>73585800</v>
      </c>
      <c r="AX22" s="64"/>
      <c r="AY22" s="310">
        <f>AY21+BA21</f>
        <v>60656109.25</v>
      </c>
      <c r="AZ22" s="313"/>
      <c r="BA22" s="311"/>
      <c r="BB22" s="64"/>
      <c r="BC22" s="58">
        <f>BC42</f>
        <v>74034800</v>
      </c>
      <c r="BD22" s="64"/>
      <c r="BE22" s="310">
        <f>BE21+BG21</f>
        <v>65981232.5</v>
      </c>
      <c r="BF22" s="313"/>
      <c r="BG22" s="311"/>
      <c r="BH22" s="64"/>
      <c r="BI22" s="58">
        <f>BI42</f>
        <v>74473800</v>
      </c>
      <c r="BJ22" s="64"/>
      <c r="BK22" s="310">
        <f>BK21+BM21</f>
        <v>76323355.75</v>
      </c>
      <c r="BL22" s="313"/>
      <c r="BM22" s="311"/>
      <c r="BN22" s="64"/>
      <c r="BO22" s="58">
        <f>BO42</f>
        <v>74872800</v>
      </c>
      <c r="BP22" s="64"/>
      <c r="BQ22" s="310">
        <f>BQ21+BS21</f>
        <v>85559479</v>
      </c>
      <c r="BR22" s="313"/>
      <c r="BS22" s="311"/>
      <c r="BT22" s="64"/>
      <c r="BU22" s="58">
        <f>BU42</f>
        <v>75280800</v>
      </c>
      <c r="BV22" s="64"/>
      <c r="BW22" s="310">
        <f>BW21+BX21</f>
        <v>85559479</v>
      </c>
      <c r="BX22" s="311"/>
      <c r="BY22" s="58">
        <f>BY42</f>
        <v>75280800</v>
      </c>
      <c r="BZ22" s="65"/>
      <c r="CA22" s="264">
        <f>BY22-BW22</f>
        <v>-10278679</v>
      </c>
      <c r="CB22" s="285">
        <v>2343000</v>
      </c>
      <c r="CC22" s="285">
        <v>140000</v>
      </c>
      <c r="CD22" s="265">
        <f>CA22+CB22+CC22</f>
        <v>-7795679</v>
      </c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</row>
    <row r="23" spans="1:216" s="258" customFormat="1" ht="14.25" thickBot="1" thickTop="1">
      <c r="A23" s="255"/>
      <c r="B23" s="266" t="s">
        <v>136</v>
      </c>
      <c r="C23" s="309" t="s">
        <v>90</v>
      </c>
      <c r="D23" s="312"/>
      <c r="E23" s="312"/>
      <c r="F23" s="312"/>
      <c r="G23" s="312"/>
      <c r="H23" s="312"/>
      <c r="I23" s="309" t="s">
        <v>91</v>
      </c>
      <c r="J23" s="309"/>
      <c r="K23" s="309"/>
      <c r="L23" s="309"/>
      <c r="M23" s="309"/>
      <c r="N23" s="309"/>
      <c r="O23" s="309" t="s">
        <v>92</v>
      </c>
      <c r="P23" s="309"/>
      <c r="Q23" s="309"/>
      <c r="R23" s="309"/>
      <c r="S23" s="309"/>
      <c r="T23" s="309"/>
      <c r="U23" s="306" t="s">
        <v>93</v>
      </c>
      <c r="V23" s="307"/>
      <c r="W23" s="307"/>
      <c r="X23" s="307"/>
      <c r="Y23" s="307"/>
      <c r="Z23" s="308"/>
      <c r="AA23" s="306" t="s">
        <v>94</v>
      </c>
      <c r="AB23" s="307"/>
      <c r="AC23" s="307"/>
      <c r="AD23" s="307"/>
      <c r="AE23" s="307"/>
      <c r="AF23" s="308"/>
      <c r="AG23" s="306" t="s">
        <v>95</v>
      </c>
      <c r="AH23" s="307"/>
      <c r="AI23" s="307"/>
      <c r="AJ23" s="307"/>
      <c r="AK23" s="307"/>
      <c r="AL23" s="308"/>
      <c r="AM23" s="306" t="s">
        <v>96</v>
      </c>
      <c r="AN23" s="307"/>
      <c r="AO23" s="307"/>
      <c r="AP23" s="307"/>
      <c r="AQ23" s="307"/>
      <c r="AR23" s="308"/>
      <c r="AS23" s="306" t="s">
        <v>97</v>
      </c>
      <c r="AT23" s="307"/>
      <c r="AU23" s="307"/>
      <c r="AV23" s="307"/>
      <c r="AW23" s="307"/>
      <c r="AX23" s="308"/>
      <c r="AY23" s="306" t="s">
        <v>98</v>
      </c>
      <c r="AZ23" s="307"/>
      <c r="BA23" s="307"/>
      <c r="BB23" s="307"/>
      <c r="BC23" s="307"/>
      <c r="BD23" s="308"/>
      <c r="BE23" s="306" t="s">
        <v>99</v>
      </c>
      <c r="BF23" s="307"/>
      <c r="BG23" s="307"/>
      <c r="BH23" s="307"/>
      <c r="BI23" s="307"/>
      <c r="BJ23" s="308"/>
      <c r="BK23" s="306" t="s">
        <v>100</v>
      </c>
      <c r="BL23" s="307"/>
      <c r="BM23" s="307"/>
      <c r="BN23" s="307"/>
      <c r="BO23" s="307"/>
      <c r="BP23" s="308"/>
      <c r="BQ23" s="306" t="s">
        <v>101</v>
      </c>
      <c r="BR23" s="307"/>
      <c r="BS23" s="307"/>
      <c r="BT23" s="307"/>
      <c r="BU23" s="307"/>
      <c r="BV23" s="308"/>
      <c r="BW23" s="306" t="s">
        <v>137</v>
      </c>
      <c r="BX23" s="307"/>
      <c r="BY23" s="308"/>
      <c r="BZ23" s="43"/>
      <c r="CA23" s="267" t="s">
        <v>138</v>
      </c>
      <c r="CB23" s="43"/>
      <c r="CC23" s="43"/>
      <c r="CD23" s="268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</row>
    <row r="24" spans="1:216" s="258" customFormat="1" ht="14.25" thickBot="1" thickTop="1">
      <c r="A24" s="255"/>
      <c r="B24" s="256"/>
      <c r="C24" s="309">
        <v>2008</v>
      </c>
      <c r="D24" s="309"/>
      <c r="E24" s="309"/>
      <c r="F24" s="309"/>
      <c r="G24" s="309"/>
      <c r="H24" s="309"/>
      <c r="I24" s="309">
        <v>2008</v>
      </c>
      <c r="J24" s="309"/>
      <c r="K24" s="309"/>
      <c r="L24" s="309"/>
      <c r="M24" s="309"/>
      <c r="N24" s="309"/>
      <c r="O24" s="309">
        <v>2008</v>
      </c>
      <c r="P24" s="309"/>
      <c r="Q24" s="309"/>
      <c r="R24" s="309"/>
      <c r="S24" s="309"/>
      <c r="T24" s="309"/>
      <c r="U24" s="309">
        <v>2008</v>
      </c>
      <c r="V24" s="309"/>
      <c r="W24" s="309"/>
      <c r="X24" s="309"/>
      <c r="Y24" s="309"/>
      <c r="Z24" s="309"/>
      <c r="AA24" s="309">
        <v>2008</v>
      </c>
      <c r="AB24" s="309"/>
      <c r="AC24" s="309"/>
      <c r="AD24" s="309"/>
      <c r="AE24" s="309"/>
      <c r="AF24" s="309"/>
      <c r="AG24" s="309">
        <v>2008</v>
      </c>
      <c r="AH24" s="309"/>
      <c r="AI24" s="309"/>
      <c r="AJ24" s="309"/>
      <c r="AK24" s="309"/>
      <c r="AL24" s="309"/>
      <c r="AM24" s="306">
        <v>2009</v>
      </c>
      <c r="AN24" s="307"/>
      <c r="AO24" s="307"/>
      <c r="AP24" s="307"/>
      <c r="AQ24" s="307"/>
      <c r="AR24" s="308"/>
      <c r="AS24" s="306">
        <v>2009</v>
      </c>
      <c r="AT24" s="307"/>
      <c r="AU24" s="307"/>
      <c r="AV24" s="307"/>
      <c r="AW24" s="307"/>
      <c r="AX24" s="308"/>
      <c r="AY24" s="306">
        <v>2009</v>
      </c>
      <c r="AZ24" s="307"/>
      <c r="BA24" s="307"/>
      <c r="BB24" s="307"/>
      <c r="BC24" s="307"/>
      <c r="BD24" s="308"/>
      <c r="BE24" s="306">
        <v>2009</v>
      </c>
      <c r="BF24" s="307"/>
      <c r="BG24" s="307"/>
      <c r="BH24" s="307"/>
      <c r="BI24" s="307"/>
      <c r="BJ24" s="308"/>
      <c r="BK24" s="306">
        <v>2009</v>
      </c>
      <c r="BL24" s="307"/>
      <c r="BM24" s="307"/>
      <c r="BN24" s="307"/>
      <c r="BO24" s="307"/>
      <c r="BP24" s="308"/>
      <c r="BQ24" s="306">
        <v>2009</v>
      </c>
      <c r="BR24" s="307"/>
      <c r="BS24" s="307"/>
      <c r="BT24" s="307"/>
      <c r="BU24" s="307"/>
      <c r="BV24" s="308"/>
      <c r="BW24" s="274"/>
      <c r="BX24" s="257" t="s">
        <v>103</v>
      </c>
      <c r="BY24" s="257"/>
      <c r="BZ24" s="43"/>
      <c r="CA24" s="267" t="s">
        <v>139</v>
      </c>
      <c r="CB24" s="43"/>
      <c r="CC24" s="43"/>
      <c r="CD24" s="268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</row>
    <row r="25" spans="1:216" s="258" customFormat="1" ht="14.25" thickBot="1" thickTop="1">
      <c r="A25" s="255"/>
      <c r="B25" s="256"/>
      <c r="C25" s="259"/>
      <c r="D25" s="259"/>
      <c r="E25" s="259"/>
      <c r="F25" s="259"/>
      <c r="G25" s="259" t="s">
        <v>108</v>
      </c>
      <c r="H25" s="259" t="s">
        <v>109</v>
      </c>
      <c r="I25" s="259"/>
      <c r="J25" s="259"/>
      <c r="K25" s="259"/>
      <c r="L25" s="259"/>
      <c r="M25" s="259" t="s">
        <v>108</v>
      </c>
      <c r="N25" s="259" t="s">
        <v>109</v>
      </c>
      <c r="O25" s="259"/>
      <c r="P25" s="259"/>
      <c r="Q25" s="259"/>
      <c r="R25" s="259"/>
      <c r="S25" s="259" t="s">
        <v>108</v>
      </c>
      <c r="T25" s="259" t="s">
        <v>109</v>
      </c>
      <c r="U25" s="259" t="s">
        <v>104</v>
      </c>
      <c r="V25" s="259" t="s">
        <v>105</v>
      </c>
      <c r="W25" s="259" t="s">
        <v>140</v>
      </c>
      <c r="X25" s="259" t="s">
        <v>107</v>
      </c>
      <c r="Y25" s="259" t="s">
        <v>108</v>
      </c>
      <c r="Z25" s="259" t="s">
        <v>109</v>
      </c>
      <c r="AA25" s="259" t="s">
        <v>104</v>
      </c>
      <c r="AB25" s="259" t="s">
        <v>105</v>
      </c>
      <c r="AC25" s="259" t="s">
        <v>140</v>
      </c>
      <c r="AD25" s="259" t="s">
        <v>107</v>
      </c>
      <c r="AE25" s="259" t="s">
        <v>108</v>
      </c>
      <c r="AF25" s="259" t="s">
        <v>109</v>
      </c>
      <c r="AG25" s="259" t="s">
        <v>104</v>
      </c>
      <c r="AH25" s="259" t="s">
        <v>105</v>
      </c>
      <c r="AI25" s="259" t="s">
        <v>140</v>
      </c>
      <c r="AJ25" s="259" t="s">
        <v>107</v>
      </c>
      <c r="AK25" s="259" t="s">
        <v>108</v>
      </c>
      <c r="AL25" s="259" t="s">
        <v>109</v>
      </c>
      <c r="AM25" s="259" t="s">
        <v>104</v>
      </c>
      <c r="AN25" s="259" t="s">
        <v>105</v>
      </c>
      <c r="AO25" s="259" t="s">
        <v>140</v>
      </c>
      <c r="AP25" s="259" t="s">
        <v>107</v>
      </c>
      <c r="AQ25" s="259" t="s">
        <v>108</v>
      </c>
      <c r="AR25" s="259" t="s">
        <v>109</v>
      </c>
      <c r="AS25" s="259" t="s">
        <v>104</v>
      </c>
      <c r="AT25" s="259" t="s">
        <v>105</v>
      </c>
      <c r="AU25" s="259" t="s">
        <v>140</v>
      </c>
      <c r="AV25" s="259" t="s">
        <v>107</v>
      </c>
      <c r="AW25" s="259" t="s">
        <v>108</v>
      </c>
      <c r="AX25" s="259" t="s">
        <v>109</v>
      </c>
      <c r="AY25" s="259" t="s">
        <v>104</v>
      </c>
      <c r="AZ25" s="259" t="s">
        <v>105</v>
      </c>
      <c r="BA25" s="259" t="s">
        <v>140</v>
      </c>
      <c r="BB25" s="259" t="s">
        <v>107</v>
      </c>
      <c r="BC25" s="259" t="s">
        <v>108</v>
      </c>
      <c r="BD25" s="259" t="s">
        <v>109</v>
      </c>
      <c r="BE25" s="259" t="s">
        <v>104</v>
      </c>
      <c r="BF25" s="259" t="s">
        <v>105</v>
      </c>
      <c r="BG25" s="259" t="s">
        <v>140</v>
      </c>
      <c r="BH25" s="259" t="s">
        <v>107</v>
      </c>
      <c r="BI25" s="259" t="s">
        <v>108</v>
      </c>
      <c r="BJ25" s="259" t="s">
        <v>109</v>
      </c>
      <c r="BK25" s="259" t="s">
        <v>104</v>
      </c>
      <c r="BL25" s="259" t="s">
        <v>105</v>
      </c>
      <c r="BM25" s="259" t="s">
        <v>140</v>
      </c>
      <c r="BN25" s="259" t="s">
        <v>107</v>
      </c>
      <c r="BO25" s="259" t="s">
        <v>108</v>
      </c>
      <c r="BP25" s="259" t="s">
        <v>109</v>
      </c>
      <c r="BQ25" s="259" t="s">
        <v>104</v>
      </c>
      <c r="BR25" s="259" t="s">
        <v>105</v>
      </c>
      <c r="BS25" s="259" t="s">
        <v>140</v>
      </c>
      <c r="BT25" s="259" t="s">
        <v>107</v>
      </c>
      <c r="BU25" s="259" t="s">
        <v>108</v>
      </c>
      <c r="BV25" s="259" t="s">
        <v>109</v>
      </c>
      <c r="BW25" s="275" t="s">
        <v>110</v>
      </c>
      <c r="BX25" s="259" t="s">
        <v>141</v>
      </c>
      <c r="BY25" s="259" t="s">
        <v>112</v>
      </c>
      <c r="BZ25" s="43"/>
      <c r="CA25" s="269" t="s">
        <v>142</v>
      </c>
      <c r="CB25" s="270"/>
      <c r="CC25" s="270"/>
      <c r="CD25" s="271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</row>
    <row r="26" spans="1:216" s="258" customFormat="1" ht="25.5" thickBot="1" thickTop="1">
      <c r="A26" s="260" t="s">
        <v>113</v>
      </c>
      <c r="B26" s="256" t="s">
        <v>114</v>
      </c>
      <c r="C26" s="259"/>
      <c r="D26" s="259"/>
      <c r="E26" s="259"/>
      <c r="F26" s="259"/>
      <c r="G26" s="259" t="s">
        <v>115</v>
      </c>
      <c r="H26" s="259" t="s">
        <v>115</v>
      </c>
      <c r="I26" s="259"/>
      <c r="J26" s="259"/>
      <c r="K26" s="259"/>
      <c r="L26" s="259"/>
      <c r="M26" s="259" t="s">
        <v>115</v>
      </c>
      <c r="N26" s="259" t="s">
        <v>115</v>
      </c>
      <c r="O26" s="259"/>
      <c r="P26" s="259"/>
      <c r="Q26" s="259"/>
      <c r="R26" s="259"/>
      <c r="S26" s="259" t="s">
        <v>115</v>
      </c>
      <c r="T26" s="259" t="s">
        <v>115</v>
      </c>
      <c r="U26" s="259" t="s">
        <v>115</v>
      </c>
      <c r="V26" s="259" t="s">
        <v>115</v>
      </c>
      <c r="W26" s="259" t="s">
        <v>115</v>
      </c>
      <c r="X26" s="259" t="s">
        <v>115</v>
      </c>
      <c r="Y26" s="259" t="s">
        <v>115</v>
      </c>
      <c r="Z26" s="259" t="s">
        <v>115</v>
      </c>
      <c r="AA26" s="259" t="s">
        <v>115</v>
      </c>
      <c r="AB26" s="259" t="s">
        <v>115</v>
      </c>
      <c r="AC26" s="259" t="s">
        <v>115</v>
      </c>
      <c r="AD26" s="259" t="s">
        <v>115</v>
      </c>
      <c r="AE26" s="259" t="s">
        <v>115</v>
      </c>
      <c r="AF26" s="259" t="s">
        <v>115</v>
      </c>
      <c r="AG26" s="259" t="s">
        <v>115</v>
      </c>
      <c r="AH26" s="259" t="s">
        <v>115</v>
      </c>
      <c r="AI26" s="259" t="s">
        <v>115</v>
      </c>
      <c r="AJ26" s="259" t="s">
        <v>115</v>
      </c>
      <c r="AK26" s="259" t="s">
        <v>115</v>
      </c>
      <c r="AL26" s="259" t="s">
        <v>115</v>
      </c>
      <c r="AM26" s="259" t="s">
        <v>115</v>
      </c>
      <c r="AN26" s="259" t="s">
        <v>115</v>
      </c>
      <c r="AO26" s="259" t="s">
        <v>115</v>
      </c>
      <c r="AP26" s="259" t="s">
        <v>115</v>
      </c>
      <c r="AQ26" s="259" t="s">
        <v>115</v>
      </c>
      <c r="AR26" s="259" t="s">
        <v>115</v>
      </c>
      <c r="AS26" s="259" t="s">
        <v>115</v>
      </c>
      <c r="AT26" s="259" t="s">
        <v>115</v>
      </c>
      <c r="AU26" s="259" t="s">
        <v>115</v>
      </c>
      <c r="AV26" s="259" t="s">
        <v>115</v>
      </c>
      <c r="AW26" s="259" t="s">
        <v>115</v>
      </c>
      <c r="AX26" s="259" t="s">
        <v>115</v>
      </c>
      <c r="AY26" s="259" t="s">
        <v>115</v>
      </c>
      <c r="AZ26" s="259" t="s">
        <v>115</v>
      </c>
      <c r="BA26" s="259" t="s">
        <v>115</v>
      </c>
      <c r="BB26" s="259" t="s">
        <v>115</v>
      </c>
      <c r="BC26" s="259" t="s">
        <v>115</v>
      </c>
      <c r="BD26" s="259" t="s">
        <v>115</v>
      </c>
      <c r="BE26" s="259" t="s">
        <v>115</v>
      </c>
      <c r="BF26" s="259" t="s">
        <v>115</v>
      </c>
      <c r="BG26" s="259" t="s">
        <v>115</v>
      </c>
      <c r="BH26" s="259" t="s">
        <v>115</v>
      </c>
      <c r="BI26" s="259" t="s">
        <v>115</v>
      </c>
      <c r="BJ26" s="259" t="s">
        <v>115</v>
      </c>
      <c r="BK26" s="259" t="s">
        <v>115</v>
      </c>
      <c r="BL26" s="259" t="s">
        <v>115</v>
      </c>
      <c r="BM26" s="259" t="s">
        <v>115</v>
      </c>
      <c r="BN26" s="259" t="s">
        <v>115</v>
      </c>
      <c r="BO26" s="259" t="s">
        <v>115</v>
      </c>
      <c r="BP26" s="259" t="s">
        <v>115</v>
      </c>
      <c r="BQ26" s="259" t="s">
        <v>115</v>
      </c>
      <c r="BR26" s="259" t="s">
        <v>115</v>
      </c>
      <c r="BS26" s="259" t="s">
        <v>115</v>
      </c>
      <c r="BT26" s="259" t="s">
        <v>115</v>
      </c>
      <c r="BU26" s="259" t="s">
        <v>115</v>
      </c>
      <c r="BV26" s="259" t="s">
        <v>115</v>
      </c>
      <c r="BW26" s="275" t="s">
        <v>115</v>
      </c>
      <c r="BX26" s="259" t="s">
        <v>116</v>
      </c>
      <c r="BY26" s="259" t="s">
        <v>116</v>
      </c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</row>
    <row r="27" spans="1:77" s="43" customFormat="1" ht="14.25" thickBot="1" thickTop="1">
      <c r="A27" s="48"/>
      <c r="B27" s="52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279"/>
      <c r="BX27" s="67"/>
      <c r="BY27" s="67"/>
    </row>
    <row r="28" spans="1:77" s="43" customFormat="1" ht="14.25" thickBot="1" thickTop="1">
      <c r="A28" s="48" t="s">
        <v>130</v>
      </c>
      <c r="B28" s="52" t="s">
        <v>143</v>
      </c>
      <c r="C28" s="279"/>
      <c r="D28" s="279"/>
      <c r="E28" s="279"/>
      <c r="F28" s="279"/>
      <c r="G28" s="279">
        <v>130000</v>
      </c>
      <c r="H28" s="279">
        <f>'[1]REV'!D20</f>
        <v>226791</v>
      </c>
      <c r="I28" s="279"/>
      <c r="J28" s="279"/>
      <c r="K28" s="279"/>
      <c r="L28" s="279"/>
      <c r="M28" s="279">
        <f>140000+G28</f>
        <v>270000</v>
      </c>
      <c r="N28" s="279">
        <f>'[1]REV'!D20</f>
        <v>226791</v>
      </c>
      <c r="O28" s="279"/>
      <c r="P28" s="279"/>
      <c r="Q28" s="279"/>
      <c r="R28" s="279"/>
      <c r="S28" s="279">
        <f>150000+M28</f>
        <v>420000</v>
      </c>
      <c r="T28" s="279">
        <f>REV!D24</f>
        <v>630679</v>
      </c>
      <c r="U28" s="279"/>
      <c r="V28" s="279"/>
      <c r="W28" s="279"/>
      <c r="X28" s="279"/>
      <c r="Y28" s="279">
        <f>160000+S28</f>
        <v>580000</v>
      </c>
      <c r="Z28" s="279">
        <f>REV!D24</f>
        <v>630679</v>
      </c>
      <c r="AA28" s="279"/>
      <c r="AB28" s="279"/>
      <c r="AC28" s="279"/>
      <c r="AD28" s="279"/>
      <c r="AE28" s="279">
        <f>178300+Y28</f>
        <v>758300</v>
      </c>
      <c r="AF28" s="279">
        <f>REV!D24</f>
        <v>630679</v>
      </c>
      <c r="AG28" s="279"/>
      <c r="AH28" s="279"/>
      <c r="AI28" s="279"/>
      <c r="AJ28" s="279"/>
      <c r="AK28" s="279">
        <f>220000+AE28</f>
        <v>978300</v>
      </c>
      <c r="AL28" s="279">
        <f>REV!D24</f>
        <v>630679</v>
      </c>
      <c r="AM28" s="279"/>
      <c r="AN28" s="279"/>
      <c r="AO28" s="279"/>
      <c r="AP28" s="279"/>
      <c r="AQ28" s="279">
        <f>140000+AK28</f>
        <v>1118300</v>
      </c>
      <c r="AR28" s="279"/>
      <c r="AS28" s="279"/>
      <c r="AT28" s="279"/>
      <c r="AU28" s="279"/>
      <c r="AV28" s="279"/>
      <c r="AW28" s="279">
        <f>130000+AQ28</f>
        <v>1248300</v>
      </c>
      <c r="AX28" s="279"/>
      <c r="AY28" s="279"/>
      <c r="AZ28" s="279"/>
      <c r="BA28" s="279"/>
      <c r="BB28" s="279"/>
      <c r="BC28" s="279">
        <f>140000+AW28</f>
        <v>1388300</v>
      </c>
      <c r="BD28" s="279"/>
      <c r="BE28" s="279"/>
      <c r="BF28" s="279"/>
      <c r="BG28" s="279"/>
      <c r="BH28" s="279"/>
      <c r="BI28" s="279">
        <f>130000+BC28</f>
        <v>1518300</v>
      </c>
      <c r="BJ28" s="279"/>
      <c r="BK28" s="279"/>
      <c r="BL28" s="279"/>
      <c r="BM28" s="279"/>
      <c r="BN28" s="279"/>
      <c r="BO28" s="279">
        <f>140000+BI28</f>
        <v>1658300</v>
      </c>
      <c r="BP28" s="279"/>
      <c r="BQ28" s="279"/>
      <c r="BR28" s="279"/>
      <c r="BS28" s="279"/>
      <c r="BT28" s="279"/>
      <c r="BU28" s="279">
        <f>150000+BO28</f>
        <v>1808300</v>
      </c>
      <c r="BV28" s="279"/>
      <c r="BW28" s="279"/>
      <c r="BX28" s="279"/>
      <c r="BY28" s="279">
        <f aca="true" t="shared" si="4" ref="BY28:BY40">BU28</f>
        <v>1808300</v>
      </c>
    </row>
    <row r="29" spans="1:77" s="43" customFormat="1" ht="14.25" thickBot="1" thickTop="1">
      <c r="A29" s="48" t="s">
        <v>118</v>
      </c>
      <c r="B29" s="52" t="s">
        <v>144</v>
      </c>
      <c r="C29" s="277"/>
      <c r="D29" s="277"/>
      <c r="E29" s="277"/>
      <c r="F29" s="277"/>
      <c r="G29" s="277">
        <v>550000</v>
      </c>
      <c r="H29" s="277">
        <f>'[1]REV'!D18+'[1]REV'!D19</f>
        <v>1996980</v>
      </c>
      <c r="I29" s="277"/>
      <c r="J29" s="277"/>
      <c r="K29" s="277"/>
      <c r="L29" s="277"/>
      <c r="M29" s="277">
        <f>550000+G29</f>
        <v>1100000</v>
      </c>
      <c r="N29" s="277">
        <f>'[1]REV'!D18+'[1]REV'!D19</f>
        <v>1996980</v>
      </c>
      <c r="O29" s="277"/>
      <c r="P29" s="277"/>
      <c r="Q29" s="277"/>
      <c r="R29" s="277"/>
      <c r="S29" s="277">
        <f>500000+M29</f>
        <v>1600000</v>
      </c>
      <c r="T29" s="277">
        <f>REV!D22+REV!D23</f>
        <v>5428504</v>
      </c>
      <c r="U29" s="277"/>
      <c r="V29" s="277"/>
      <c r="W29" s="277"/>
      <c r="X29" s="277"/>
      <c r="Y29" s="276">
        <f>450000+S29</f>
        <v>2050000</v>
      </c>
      <c r="Z29" s="277">
        <f>REV!D22+REV!D23</f>
        <v>5428504</v>
      </c>
      <c r="AA29" s="277"/>
      <c r="AB29" s="277"/>
      <c r="AC29" s="277"/>
      <c r="AD29" s="277"/>
      <c r="AE29" s="277">
        <f>450000+Y29</f>
        <v>2500000</v>
      </c>
      <c r="AF29" s="279">
        <f>REV!D22+REV!D23</f>
        <v>5428504</v>
      </c>
      <c r="AG29" s="277"/>
      <c r="AH29" s="277"/>
      <c r="AI29" s="280"/>
      <c r="AJ29" s="280"/>
      <c r="AK29" s="277">
        <f>400000+AE29</f>
        <v>2900000</v>
      </c>
      <c r="AL29" s="279">
        <f>REV!D22+REV!D23</f>
        <v>5428504</v>
      </c>
      <c r="AM29" s="277"/>
      <c r="AN29" s="277"/>
      <c r="AO29" s="277"/>
      <c r="AP29" s="277"/>
      <c r="AQ29" s="277">
        <f>350000+AK29</f>
        <v>3250000</v>
      </c>
      <c r="AR29" s="277"/>
      <c r="AS29" s="277"/>
      <c r="AT29" s="277"/>
      <c r="AU29" s="277"/>
      <c r="AV29" s="276"/>
      <c r="AW29" s="277">
        <f>350000+AQ29</f>
        <v>3600000</v>
      </c>
      <c r="AX29" s="277"/>
      <c r="AY29" s="277"/>
      <c r="AZ29" s="277"/>
      <c r="BA29" s="277"/>
      <c r="BB29" s="277"/>
      <c r="BC29" s="277">
        <f>300000+AW29</f>
        <v>3900000</v>
      </c>
      <c r="BD29" s="277"/>
      <c r="BE29" s="277"/>
      <c r="BF29" s="277"/>
      <c r="BG29" s="277"/>
      <c r="BH29" s="277"/>
      <c r="BI29" s="277">
        <f>300000+BC29</f>
        <v>4200000</v>
      </c>
      <c r="BJ29" s="277"/>
      <c r="BK29" s="277"/>
      <c r="BL29" s="277"/>
      <c r="BM29" s="277"/>
      <c r="BN29" s="277"/>
      <c r="BO29" s="277">
        <f>250000+BI29</f>
        <v>4450000</v>
      </c>
      <c r="BP29" s="277"/>
      <c r="BQ29" s="277"/>
      <c r="BR29" s="277"/>
      <c r="BS29" s="277"/>
      <c r="BT29" s="277"/>
      <c r="BU29" s="277">
        <f>250000+BO29</f>
        <v>4700000</v>
      </c>
      <c r="BV29" s="277"/>
      <c r="BW29" s="277"/>
      <c r="BX29" s="277"/>
      <c r="BY29" s="279">
        <f t="shared" si="4"/>
        <v>4700000</v>
      </c>
    </row>
    <row r="30" spans="1:77" ht="14.25" hidden="1" thickBot="1" thickTop="1">
      <c r="A30" s="48" t="s">
        <v>130</v>
      </c>
      <c r="B30" s="52" t="s">
        <v>145</v>
      </c>
      <c r="C30" s="277"/>
      <c r="D30" s="277"/>
      <c r="E30" s="277"/>
      <c r="F30" s="277"/>
      <c r="G30" s="277">
        <v>0</v>
      </c>
      <c r="H30" s="277">
        <v>0</v>
      </c>
      <c r="I30" s="277"/>
      <c r="J30" s="277"/>
      <c r="K30" s="277"/>
      <c r="L30" s="277"/>
      <c r="M30" s="277">
        <v>0</v>
      </c>
      <c r="N30" s="277"/>
      <c r="O30" s="277"/>
      <c r="P30" s="277"/>
      <c r="Q30" s="277"/>
      <c r="R30" s="277"/>
      <c r="S30" s="277">
        <v>0</v>
      </c>
      <c r="T30" s="277"/>
      <c r="U30" s="277"/>
      <c r="V30" s="277"/>
      <c r="W30" s="277"/>
      <c r="X30" s="277"/>
      <c r="Y30" s="277">
        <v>0</v>
      </c>
      <c r="Z30" s="277"/>
      <c r="AA30" s="277"/>
      <c r="AB30" s="277"/>
      <c r="AC30" s="277"/>
      <c r="AD30" s="277"/>
      <c r="AE30" s="277">
        <v>0</v>
      </c>
      <c r="AF30" s="277"/>
      <c r="AG30" s="277"/>
      <c r="AH30" s="277"/>
      <c r="AI30" s="277"/>
      <c r="AJ30" s="277"/>
      <c r="AK30" s="277">
        <v>0</v>
      </c>
      <c r="AL30" s="277"/>
      <c r="AM30" s="277"/>
      <c r="AN30" s="277"/>
      <c r="AO30" s="277"/>
      <c r="AP30" s="277"/>
      <c r="AQ30" s="277">
        <v>0</v>
      </c>
      <c r="AR30" s="277"/>
      <c r="AS30" s="277"/>
      <c r="AT30" s="277"/>
      <c r="AU30" s="277"/>
      <c r="AV30" s="277"/>
      <c r="AW30" s="277">
        <v>0</v>
      </c>
      <c r="AX30" s="277"/>
      <c r="AY30" s="277"/>
      <c r="AZ30" s="277"/>
      <c r="BA30" s="277"/>
      <c r="BB30" s="277"/>
      <c r="BC30" s="277">
        <v>0</v>
      </c>
      <c r="BD30" s="277"/>
      <c r="BE30" s="277"/>
      <c r="BF30" s="277"/>
      <c r="BG30" s="277"/>
      <c r="BH30" s="277"/>
      <c r="BI30" s="277">
        <v>0</v>
      </c>
      <c r="BJ30" s="277"/>
      <c r="BK30" s="277"/>
      <c r="BL30" s="277"/>
      <c r="BM30" s="277"/>
      <c r="BN30" s="277"/>
      <c r="BO30" s="277">
        <v>0</v>
      </c>
      <c r="BP30" s="277"/>
      <c r="BQ30" s="277"/>
      <c r="BR30" s="277"/>
      <c r="BS30" s="277"/>
      <c r="BT30" s="277"/>
      <c r="BU30" s="277">
        <v>0</v>
      </c>
      <c r="BV30" s="277"/>
      <c r="BW30" s="277"/>
      <c r="BX30" s="277"/>
      <c r="BY30" s="279">
        <f t="shared" si="4"/>
        <v>0</v>
      </c>
    </row>
    <row r="31" spans="1:77" ht="14.25" hidden="1" thickBot="1" thickTop="1">
      <c r="A31" s="48" t="s">
        <v>118</v>
      </c>
      <c r="B31" s="52" t="s">
        <v>146</v>
      </c>
      <c r="C31" s="277"/>
      <c r="D31" s="277"/>
      <c r="E31" s="277"/>
      <c r="F31" s="277"/>
      <c r="G31" s="277">
        <v>0</v>
      </c>
      <c r="H31" s="277">
        <v>0</v>
      </c>
      <c r="I31" s="277"/>
      <c r="J31" s="277"/>
      <c r="K31" s="277"/>
      <c r="L31" s="277"/>
      <c r="M31" s="277">
        <v>0</v>
      </c>
      <c r="N31" s="277"/>
      <c r="O31" s="277"/>
      <c r="P31" s="277"/>
      <c r="Q31" s="277"/>
      <c r="R31" s="277"/>
      <c r="S31" s="277">
        <v>0</v>
      </c>
      <c r="T31" s="277"/>
      <c r="U31" s="277"/>
      <c r="V31" s="277"/>
      <c r="W31" s="277"/>
      <c r="X31" s="277"/>
      <c r="Y31" s="277">
        <v>0</v>
      </c>
      <c r="Z31" s="277"/>
      <c r="AA31" s="277"/>
      <c r="AB31" s="277"/>
      <c r="AC31" s="277"/>
      <c r="AD31" s="277"/>
      <c r="AE31" s="277">
        <v>0</v>
      </c>
      <c r="AF31" s="277"/>
      <c r="AG31" s="277"/>
      <c r="AH31" s="277"/>
      <c r="AI31" s="277"/>
      <c r="AJ31" s="277"/>
      <c r="AK31" s="277">
        <v>0</v>
      </c>
      <c r="AL31" s="277"/>
      <c r="AM31" s="277"/>
      <c r="AN31" s="277"/>
      <c r="AO31" s="277"/>
      <c r="AP31" s="277"/>
      <c r="AQ31" s="277">
        <v>0</v>
      </c>
      <c r="AR31" s="277"/>
      <c r="AS31" s="277"/>
      <c r="AT31" s="277"/>
      <c r="AU31" s="277"/>
      <c r="AV31" s="277"/>
      <c r="AW31" s="277">
        <v>0</v>
      </c>
      <c r="AX31" s="277"/>
      <c r="AY31" s="277"/>
      <c r="AZ31" s="277"/>
      <c r="BA31" s="277"/>
      <c r="BB31" s="277"/>
      <c r="BC31" s="277">
        <v>0</v>
      </c>
      <c r="BD31" s="277"/>
      <c r="BE31" s="277"/>
      <c r="BF31" s="277"/>
      <c r="BG31" s="277"/>
      <c r="BH31" s="277"/>
      <c r="BI31" s="277">
        <v>0</v>
      </c>
      <c r="BJ31" s="277"/>
      <c r="BK31" s="277"/>
      <c r="BL31" s="277"/>
      <c r="BM31" s="277"/>
      <c r="BN31" s="277"/>
      <c r="BO31" s="277">
        <v>0</v>
      </c>
      <c r="BP31" s="277"/>
      <c r="BQ31" s="277"/>
      <c r="BR31" s="277"/>
      <c r="BS31" s="277"/>
      <c r="BT31" s="277"/>
      <c r="BU31" s="277">
        <v>0</v>
      </c>
      <c r="BV31" s="277"/>
      <c r="BW31" s="277"/>
      <c r="BX31" s="277"/>
      <c r="BY31" s="279">
        <f t="shared" si="4"/>
        <v>0</v>
      </c>
    </row>
    <row r="32" spans="1:77" ht="14.25" thickBot="1" thickTop="1">
      <c r="A32" s="48" t="s">
        <v>118</v>
      </c>
      <c r="B32" s="52" t="s">
        <v>26</v>
      </c>
      <c r="C32" s="277"/>
      <c r="D32" s="277"/>
      <c r="E32" s="277"/>
      <c r="F32" s="277"/>
      <c r="G32" s="277">
        <v>960</v>
      </c>
      <c r="H32" s="277">
        <f>'[1]REV'!D22</f>
        <v>19289</v>
      </c>
      <c r="I32" s="277"/>
      <c r="J32" s="277"/>
      <c r="K32" s="277"/>
      <c r="L32" s="277"/>
      <c r="M32" s="277">
        <f>960+G32</f>
        <v>1920</v>
      </c>
      <c r="N32" s="277">
        <f>'[1]REV'!D22</f>
        <v>19289</v>
      </c>
      <c r="O32" s="277"/>
      <c r="P32" s="277"/>
      <c r="Q32" s="277"/>
      <c r="R32" s="277"/>
      <c r="S32" s="277">
        <f>960+M32</f>
        <v>2880</v>
      </c>
      <c r="T32" s="277">
        <f>REV!D26</f>
        <v>326787.14</v>
      </c>
      <c r="U32" s="277"/>
      <c r="V32" s="277"/>
      <c r="W32" s="277"/>
      <c r="X32" s="277"/>
      <c r="Y32" s="277">
        <f>960+S32</f>
        <v>3840</v>
      </c>
      <c r="Z32" s="277">
        <f>REV!D26</f>
        <v>326787.14</v>
      </c>
      <c r="AA32" s="277"/>
      <c r="AB32" s="277"/>
      <c r="AC32" s="277"/>
      <c r="AD32" s="277"/>
      <c r="AE32" s="277">
        <f>960+Y32</f>
        <v>4800</v>
      </c>
      <c r="AF32" s="279">
        <f>REV!D21+REV!D26</f>
        <v>532002.14</v>
      </c>
      <c r="AG32" s="277"/>
      <c r="AH32" s="277"/>
      <c r="AI32" s="277"/>
      <c r="AJ32" s="277"/>
      <c r="AK32" s="277">
        <f>960+AE32</f>
        <v>5760</v>
      </c>
      <c r="AL32" s="279">
        <f>REV!D21+REV!D26</f>
        <v>532002.14</v>
      </c>
      <c r="AM32" s="277"/>
      <c r="AN32" s="277"/>
      <c r="AO32" s="277"/>
      <c r="AP32" s="277"/>
      <c r="AQ32" s="277">
        <f>960+AK32</f>
        <v>6720</v>
      </c>
      <c r="AR32" s="277"/>
      <c r="AS32" s="277"/>
      <c r="AT32" s="277"/>
      <c r="AU32" s="277"/>
      <c r="AV32" s="277"/>
      <c r="AW32" s="277">
        <f>960+AQ32</f>
        <v>7680</v>
      </c>
      <c r="AX32" s="277"/>
      <c r="AY32" s="277"/>
      <c r="AZ32" s="277"/>
      <c r="BA32" s="277"/>
      <c r="BB32" s="277"/>
      <c r="BC32" s="277">
        <f>960+AW32</f>
        <v>8640</v>
      </c>
      <c r="BD32" s="277"/>
      <c r="BE32" s="277"/>
      <c r="BF32" s="277"/>
      <c r="BG32" s="277"/>
      <c r="BH32" s="277"/>
      <c r="BI32" s="277">
        <f>960+BC32</f>
        <v>9600</v>
      </c>
      <c r="BJ32" s="277"/>
      <c r="BK32" s="277"/>
      <c r="BL32" s="277"/>
      <c r="BM32" s="277"/>
      <c r="BN32" s="277"/>
      <c r="BO32" s="277">
        <f>960+BI32</f>
        <v>10560</v>
      </c>
      <c r="BP32" s="277"/>
      <c r="BQ32" s="277"/>
      <c r="BR32" s="277"/>
      <c r="BS32" s="277"/>
      <c r="BT32" s="277"/>
      <c r="BU32" s="277">
        <f>940+BO32</f>
        <v>11500</v>
      </c>
      <c r="BV32" s="277"/>
      <c r="BW32" s="277"/>
      <c r="BX32" s="277"/>
      <c r="BY32" s="279">
        <f t="shared" si="4"/>
        <v>11500</v>
      </c>
    </row>
    <row r="33" spans="1:77" ht="14.25" thickBot="1" thickTop="1">
      <c r="A33" s="48" t="s">
        <v>127</v>
      </c>
      <c r="B33" s="52" t="s">
        <v>147</v>
      </c>
      <c r="C33" s="277"/>
      <c r="D33" s="277"/>
      <c r="E33" s="277"/>
      <c r="F33" s="277"/>
      <c r="G33" s="277">
        <v>4040</v>
      </c>
      <c r="H33" s="277">
        <f>'[1]REV'!D21</f>
        <v>0</v>
      </c>
      <c r="I33" s="277"/>
      <c r="J33" s="277"/>
      <c r="K33" s="277"/>
      <c r="L33" s="277"/>
      <c r="M33" s="277">
        <f>4040+G33</f>
        <v>8080</v>
      </c>
      <c r="N33" s="277">
        <f>'[1]REV'!D21</f>
        <v>0</v>
      </c>
      <c r="O33" s="277"/>
      <c r="P33" s="277"/>
      <c r="Q33" s="277"/>
      <c r="R33" s="277"/>
      <c r="S33" s="277">
        <f>10540+M33</f>
        <v>18620</v>
      </c>
      <c r="T33" s="277">
        <f>REV!D25</f>
        <v>3294</v>
      </c>
      <c r="U33" s="277"/>
      <c r="V33" s="277"/>
      <c r="W33" s="277"/>
      <c r="X33" s="277"/>
      <c r="Y33" s="277">
        <f>8040+S33</f>
        <v>26660</v>
      </c>
      <c r="Z33" s="279">
        <f>REV!D10</f>
        <v>0</v>
      </c>
      <c r="AA33" s="277"/>
      <c r="AB33" s="277"/>
      <c r="AC33" s="277"/>
      <c r="AD33" s="277"/>
      <c r="AE33" s="277">
        <f>8040+Y33</f>
        <v>34700</v>
      </c>
      <c r="AF33" s="279">
        <f>REV!D25</f>
        <v>3294</v>
      </c>
      <c r="AG33" s="277"/>
      <c r="AH33" s="277"/>
      <c r="AI33" s="277"/>
      <c r="AJ33" s="277"/>
      <c r="AK33" s="277">
        <f>8040+AE33</f>
        <v>42740</v>
      </c>
      <c r="AL33" s="279">
        <f>REV!D25</f>
        <v>3294</v>
      </c>
      <c r="AM33" s="277"/>
      <c r="AN33" s="277"/>
      <c r="AO33" s="277"/>
      <c r="AP33" s="277"/>
      <c r="AQ33" s="277">
        <f>8040+AK33</f>
        <v>50780</v>
      </c>
      <c r="AR33" s="277"/>
      <c r="AS33" s="277"/>
      <c r="AT33" s="277"/>
      <c r="AU33" s="277"/>
      <c r="AV33" s="277"/>
      <c r="AW33" s="277">
        <f>8040+AQ33</f>
        <v>58820</v>
      </c>
      <c r="AX33" s="277"/>
      <c r="AY33" s="277"/>
      <c r="AZ33" s="277"/>
      <c r="BA33" s="277"/>
      <c r="BB33" s="277"/>
      <c r="BC33" s="277">
        <f>8040+AW33</f>
        <v>66860</v>
      </c>
      <c r="BD33" s="277"/>
      <c r="BE33" s="277"/>
      <c r="BF33" s="277"/>
      <c r="BG33" s="277"/>
      <c r="BH33" s="277"/>
      <c r="BI33" s="277">
        <f>8040+BC33</f>
        <v>74900</v>
      </c>
      <c r="BJ33" s="277"/>
      <c r="BK33" s="277"/>
      <c r="BL33" s="277"/>
      <c r="BM33" s="277"/>
      <c r="BN33" s="277"/>
      <c r="BO33" s="277">
        <f>8040+BI33</f>
        <v>82940</v>
      </c>
      <c r="BP33" s="277"/>
      <c r="BQ33" s="277"/>
      <c r="BR33" s="277"/>
      <c r="BS33" s="277"/>
      <c r="BT33" s="277"/>
      <c r="BU33" s="277">
        <f>7060+BO33</f>
        <v>90000</v>
      </c>
      <c r="BV33" s="277"/>
      <c r="BW33" s="277"/>
      <c r="BX33" s="277"/>
      <c r="BY33" s="279">
        <f t="shared" si="4"/>
        <v>90000</v>
      </c>
    </row>
    <row r="34" spans="1:77" ht="14.25" thickBot="1" thickTop="1">
      <c r="A34" s="48" t="s">
        <v>118</v>
      </c>
      <c r="B34" s="52" t="s">
        <v>148</v>
      </c>
      <c r="C34" s="286"/>
      <c r="D34" s="286"/>
      <c r="E34" s="279"/>
      <c r="F34" s="286"/>
      <c r="G34" s="279">
        <v>22478702</v>
      </c>
      <c r="H34" s="279">
        <f>'[1]REV'!D11</f>
        <v>22478702</v>
      </c>
      <c r="I34" s="286"/>
      <c r="J34" s="286"/>
      <c r="K34" s="286"/>
      <c r="L34" s="286"/>
      <c r="M34" s="279">
        <f>0+G34</f>
        <v>22478702</v>
      </c>
      <c r="N34" s="279">
        <f>'[1]REV'!D11</f>
        <v>22478702</v>
      </c>
      <c r="O34" s="286"/>
      <c r="P34" s="286"/>
      <c r="Q34" s="286"/>
      <c r="R34" s="286"/>
      <c r="S34" s="279">
        <f>0+M34</f>
        <v>22478702</v>
      </c>
      <c r="T34" s="279">
        <f>REV!D11</f>
        <v>39337728</v>
      </c>
      <c r="U34" s="286"/>
      <c r="V34" s="286"/>
      <c r="W34" s="286"/>
      <c r="X34" s="286"/>
      <c r="Y34" s="279">
        <f>S34</f>
        <v>22478702</v>
      </c>
      <c r="Z34" s="279">
        <f>REV!D11</f>
        <v>39337728</v>
      </c>
      <c r="AA34" s="286"/>
      <c r="AB34" s="286"/>
      <c r="AC34" s="286"/>
      <c r="AD34" s="286"/>
      <c r="AE34" s="279">
        <f>16859026+Y34</f>
        <v>39337728</v>
      </c>
      <c r="AF34" s="279">
        <f>REV!D11</f>
        <v>39337728</v>
      </c>
      <c r="AG34" s="286"/>
      <c r="AH34" s="286"/>
      <c r="AI34" s="286"/>
      <c r="AJ34" s="286"/>
      <c r="AK34" s="279">
        <f>AE34</f>
        <v>39337728</v>
      </c>
      <c r="AL34" s="279">
        <f>REV!D11</f>
        <v>39337728</v>
      </c>
      <c r="AM34" s="286"/>
      <c r="AN34" s="286"/>
      <c r="AO34" s="286"/>
      <c r="AP34" s="286"/>
      <c r="AQ34" s="279">
        <f>AK34</f>
        <v>39337728</v>
      </c>
      <c r="AR34" s="286"/>
      <c r="AS34" s="286"/>
      <c r="AT34" s="286"/>
      <c r="AU34" s="286"/>
      <c r="AV34" s="286"/>
      <c r="AW34" s="279">
        <f>28098272+AQ34</f>
        <v>67436000</v>
      </c>
      <c r="AX34" s="286"/>
      <c r="AY34" s="286"/>
      <c r="AZ34" s="286"/>
      <c r="BA34" s="286"/>
      <c r="BB34" s="286"/>
      <c r="BC34" s="279">
        <f>AW34</f>
        <v>67436000</v>
      </c>
      <c r="BD34" s="279"/>
      <c r="BE34" s="286"/>
      <c r="BF34" s="286"/>
      <c r="BG34" s="286"/>
      <c r="BH34" s="286"/>
      <c r="BI34" s="279">
        <f>BC34</f>
        <v>67436000</v>
      </c>
      <c r="BJ34" s="286"/>
      <c r="BK34" s="286"/>
      <c r="BL34" s="286"/>
      <c r="BM34" s="286"/>
      <c r="BN34" s="286"/>
      <c r="BO34" s="279">
        <f>BI34</f>
        <v>67436000</v>
      </c>
      <c r="BP34" s="286"/>
      <c r="BQ34" s="286"/>
      <c r="BR34" s="286"/>
      <c r="BS34" s="286"/>
      <c r="BT34" s="286"/>
      <c r="BU34" s="279">
        <f>BO34</f>
        <v>67436000</v>
      </c>
      <c r="BV34" s="279"/>
      <c r="BW34" s="286"/>
      <c r="BX34" s="279"/>
      <c r="BY34" s="279">
        <f t="shared" si="4"/>
        <v>67436000</v>
      </c>
    </row>
    <row r="35" spans="1:77" ht="14.25" thickBot="1" thickTop="1">
      <c r="A35" s="48" t="s">
        <v>118</v>
      </c>
      <c r="B35" s="52" t="s">
        <v>149</v>
      </c>
      <c r="C35" s="277"/>
      <c r="D35" s="277"/>
      <c r="E35" s="279"/>
      <c r="F35" s="277"/>
      <c r="G35" s="279">
        <v>250000</v>
      </c>
      <c r="H35" s="277">
        <f>'[1]REV'!D13</f>
        <v>27278</v>
      </c>
      <c r="I35" s="277"/>
      <c r="J35" s="277"/>
      <c r="K35" s="277"/>
      <c r="L35" s="277"/>
      <c r="M35" s="277">
        <f>0+G35</f>
        <v>250000</v>
      </c>
      <c r="N35" s="277">
        <f>'[1]REV'!D13</f>
        <v>27278</v>
      </c>
      <c r="O35" s="277"/>
      <c r="P35" s="277"/>
      <c r="Q35" s="277"/>
      <c r="R35" s="277"/>
      <c r="S35" s="279">
        <f>0+M35</f>
        <v>250000</v>
      </c>
      <c r="T35" s="276">
        <f>REV!D13</f>
        <v>113747</v>
      </c>
      <c r="U35" s="277"/>
      <c r="V35" s="277"/>
      <c r="W35" s="277"/>
      <c r="X35" s="277"/>
      <c r="Y35" s="279">
        <f>S35</f>
        <v>250000</v>
      </c>
      <c r="Z35" s="276">
        <f>REV!D13</f>
        <v>113747</v>
      </c>
      <c r="AA35" s="277"/>
      <c r="AB35" s="277"/>
      <c r="AC35" s="277"/>
      <c r="AD35" s="277"/>
      <c r="AE35" s="279">
        <f>250000+Y35</f>
        <v>500000</v>
      </c>
      <c r="AF35" s="279">
        <f>REV!D13</f>
        <v>113747</v>
      </c>
      <c r="AG35" s="277"/>
      <c r="AH35" s="277"/>
      <c r="AI35" s="277"/>
      <c r="AJ35" s="277"/>
      <c r="AK35" s="279">
        <f>AE35</f>
        <v>500000</v>
      </c>
      <c r="AL35" s="279">
        <f>REV!D13</f>
        <v>113747</v>
      </c>
      <c r="AM35" s="277"/>
      <c r="AN35" s="277"/>
      <c r="AO35" s="277"/>
      <c r="AP35" s="277"/>
      <c r="AQ35" s="279">
        <f>AK35</f>
        <v>500000</v>
      </c>
      <c r="AR35" s="277"/>
      <c r="AS35" s="277"/>
      <c r="AT35" s="277"/>
      <c r="AU35" s="277"/>
      <c r="AV35" s="277"/>
      <c r="AW35" s="279">
        <f>AQ35</f>
        <v>500000</v>
      </c>
      <c r="AX35" s="277"/>
      <c r="AY35" s="277"/>
      <c r="AZ35" s="277"/>
      <c r="BA35" s="277"/>
      <c r="BB35" s="277"/>
      <c r="BC35" s="279">
        <f>AW35</f>
        <v>500000</v>
      </c>
      <c r="BD35" s="279"/>
      <c r="BE35" s="277"/>
      <c r="BF35" s="277"/>
      <c r="BG35" s="277"/>
      <c r="BH35" s="277"/>
      <c r="BI35" s="279">
        <f>BC35</f>
        <v>500000</v>
      </c>
      <c r="BJ35" s="277"/>
      <c r="BK35" s="277"/>
      <c r="BL35" s="277"/>
      <c r="BM35" s="277"/>
      <c r="BN35" s="277"/>
      <c r="BO35" s="279">
        <f>BI35</f>
        <v>500000</v>
      </c>
      <c r="BP35" s="277"/>
      <c r="BQ35" s="277"/>
      <c r="BR35" s="277"/>
      <c r="BS35" s="277"/>
      <c r="BT35" s="277"/>
      <c r="BU35" s="279">
        <f>BO35</f>
        <v>500000</v>
      </c>
      <c r="BV35" s="279"/>
      <c r="BW35" s="277"/>
      <c r="BX35" s="277"/>
      <c r="BY35" s="279">
        <f t="shared" si="4"/>
        <v>500000</v>
      </c>
    </row>
    <row r="36" spans="1:216" ht="14.25" thickBot="1" thickTop="1">
      <c r="A36" s="48" t="s">
        <v>120</v>
      </c>
      <c r="B36" s="52" t="s">
        <v>150</v>
      </c>
      <c r="C36" s="277"/>
      <c r="D36" s="277"/>
      <c r="E36" s="280"/>
      <c r="F36" s="280"/>
      <c r="G36" s="277">
        <v>367500</v>
      </c>
      <c r="H36" s="277">
        <f>'[1]REV'!D12</f>
        <v>114528</v>
      </c>
      <c r="I36" s="277"/>
      <c r="J36" s="277"/>
      <c r="K36" s="280"/>
      <c r="L36" s="280"/>
      <c r="M36" s="277">
        <f>0+G36</f>
        <v>367500</v>
      </c>
      <c r="N36" s="277">
        <f>'[1]REV'!D12</f>
        <v>114528</v>
      </c>
      <c r="O36" s="277"/>
      <c r="P36" s="277"/>
      <c r="Q36" s="280"/>
      <c r="R36" s="280"/>
      <c r="S36" s="279">
        <f>0+M36</f>
        <v>367500</v>
      </c>
      <c r="T36" s="277">
        <f>REV!D12</f>
        <v>337304</v>
      </c>
      <c r="U36" s="277"/>
      <c r="V36" s="277"/>
      <c r="W36" s="280"/>
      <c r="X36" s="280"/>
      <c r="Y36" s="279">
        <f>S36</f>
        <v>367500</v>
      </c>
      <c r="Z36" s="277">
        <f>REV!D12</f>
        <v>337304</v>
      </c>
      <c r="AA36" s="277"/>
      <c r="AB36" s="277"/>
      <c r="AC36" s="280"/>
      <c r="AD36" s="280"/>
      <c r="AE36" s="279">
        <f>367500+Y36</f>
        <v>735000</v>
      </c>
      <c r="AF36" s="279">
        <f>REV!D12</f>
        <v>337304</v>
      </c>
      <c r="AG36" s="277"/>
      <c r="AH36" s="277"/>
      <c r="AI36" s="280"/>
      <c r="AJ36" s="280"/>
      <c r="AK36" s="279">
        <f>AE36</f>
        <v>735000</v>
      </c>
      <c r="AL36" s="279">
        <f>REV!D12</f>
        <v>337304</v>
      </c>
      <c r="AM36" s="277"/>
      <c r="AN36" s="277"/>
      <c r="AO36" s="280"/>
      <c r="AP36" s="280"/>
      <c r="AQ36" s="279">
        <f>AK36</f>
        <v>735000</v>
      </c>
      <c r="AR36" s="277"/>
      <c r="AS36" s="277"/>
      <c r="AT36" s="277"/>
      <c r="AU36" s="280"/>
      <c r="AV36" s="280"/>
      <c r="AW36" s="279">
        <f>AQ36</f>
        <v>735000</v>
      </c>
      <c r="AX36" s="277"/>
      <c r="AY36" s="277"/>
      <c r="AZ36" s="277"/>
      <c r="BA36" s="280"/>
      <c r="BB36" s="280"/>
      <c r="BC36" s="279">
        <f>AW36</f>
        <v>735000</v>
      </c>
      <c r="BD36" s="279"/>
      <c r="BE36" s="277"/>
      <c r="BF36" s="277"/>
      <c r="BG36" s="280"/>
      <c r="BH36" s="280"/>
      <c r="BI36" s="279">
        <f>BC36</f>
        <v>735000</v>
      </c>
      <c r="BJ36" s="277"/>
      <c r="BK36" s="277"/>
      <c r="BL36" s="277"/>
      <c r="BM36" s="280"/>
      <c r="BN36" s="280"/>
      <c r="BO36" s="279">
        <f>BI36</f>
        <v>735000</v>
      </c>
      <c r="BP36" s="277"/>
      <c r="BQ36" s="277"/>
      <c r="BR36" s="277"/>
      <c r="BS36" s="280"/>
      <c r="BT36" s="280"/>
      <c r="BU36" s="279">
        <f>BO36</f>
        <v>735000</v>
      </c>
      <c r="BV36" s="279"/>
      <c r="BW36" s="277"/>
      <c r="BX36" s="277"/>
      <c r="BY36" s="279">
        <f t="shared" si="4"/>
        <v>735000</v>
      </c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</row>
    <row r="37" spans="1:216" ht="14.25" thickBot="1" thickTop="1">
      <c r="A37" s="48" t="s">
        <v>128</v>
      </c>
      <c r="B37" s="52" t="s">
        <v>151</v>
      </c>
      <c r="C37" s="277"/>
      <c r="D37" s="277"/>
      <c r="E37" s="277"/>
      <c r="F37" s="277"/>
      <c r="G37" s="277">
        <v>0</v>
      </c>
      <c r="H37" s="277">
        <f>'[1]REV'!D14</f>
        <v>1326161</v>
      </c>
      <c r="I37" s="277"/>
      <c r="J37" s="277"/>
      <c r="K37" s="277"/>
      <c r="L37" s="277"/>
      <c r="M37" s="279">
        <v>0</v>
      </c>
      <c r="N37" s="277">
        <f>'[1]REV'!D14</f>
        <v>1326161</v>
      </c>
      <c r="O37" s="277"/>
      <c r="P37" s="277"/>
      <c r="Q37" s="277"/>
      <c r="R37" s="277"/>
      <c r="S37" s="279">
        <v>0</v>
      </c>
      <c r="T37" s="277">
        <f>REV!D14</f>
        <v>1159834</v>
      </c>
      <c r="U37" s="277"/>
      <c r="V37" s="277"/>
      <c r="W37" s="277"/>
      <c r="X37" s="277"/>
      <c r="Y37" s="279">
        <v>0</v>
      </c>
      <c r="Z37" s="277">
        <f>REV!D14</f>
        <v>1159834</v>
      </c>
      <c r="AA37" s="277"/>
      <c r="AB37" s="277"/>
      <c r="AC37" s="277"/>
      <c r="AD37" s="277"/>
      <c r="AE37" s="279">
        <v>0</v>
      </c>
      <c r="AF37" s="279">
        <f>REV!D14</f>
        <v>1159834</v>
      </c>
      <c r="AG37" s="277"/>
      <c r="AH37" s="277"/>
      <c r="AI37" s="277"/>
      <c r="AJ37" s="277"/>
      <c r="AK37" s="279">
        <v>0</v>
      </c>
      <c r="AL37" s="279">
        <f>REV!D14</f>
        <v>1159834</v>
      </c>
      <c r="AM37" s="277"/>
      <c r="AN37" s="277"/>
      <c r="AO37" s="277"/>
      <c r="AP37" s="277"/>
      <c r="AQ37" s="279">
        <v>0</v>
      </c>
      <c r="AR37" s="277"/>
      <c r="AS37" s="277"/>
      <c r="AT37" s="277"/>
      <c r="AU37" s="277"/>
      <c r="AV37" s="277"/>
      <c r="AW37" s="279">
        <v>0</v>
      </c>
      <c r="AX37" s="277"/>
      <c r="AY37" s="277"/>
      <c r="AZ37" s="277"/>
      <c r="BA37" s="277"/>
      <c r="BB37" s="277"/>
      <c r="BC37" s="279">
        <v>0</v>
      </c>
      <c r="BD37" s="277"/>
      <c r="BE37" s="277"/>
      <c r="BF37" s="277"/>
      <c r="BG37" s="277"/>
      <c r="BH37" s="277"/>
      <c r="BI37" s="279">
        <v>0</v>
      </c>
      <c r="BJ37" s="277"/>
      <c r="BK37" s="277"/>
      <c r="BL37" s="277"/>
      <c r="BM37" s="277"/>
      <c r="BN37" s="277"/>
      <c r="BO37" s="279">
        <v>0</v>
      </c>
      <c r="BP37" s="277"/>
      <c r="BQ37" s="277"/>
      <c r="BR37" s="277"/>
      <c r="BS37" s="277"/>
      <c r="BT37" s="277"/>
      <c r="BU37" s="279">
        <v>0</v>
      </c>
      <c r="BV37" s="277"/>
      <c r="BW37" s="277"/>
      <c r="BX37" s="277"/>
      <c r="BY37" s="279">
        <f t="shared" si="4"/>
        <v>0</v>
      </c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</row>
    <row r="38" spans="1:216" ht="14.25" thickBot="1" thickTop="1">
      <c r="A38" s="48" t="s">
        <v>121</v>
      </c>
      <c r="B38" s="52" t="s">
        <v>152</v>
      </c>
      <c r="C38" s="277"/>
      <c r="D38" s="277"/>
      <c r="E38" s="277"/>
      <c r="F38" s="277"/>
      <c r="G38" s="277">
        <v>0</v>
      </c>
      <c r="H38" s="277">
        <v>0</v>
      </c>
      <c r="I38" s="277"/>
      <c r="J38" s="277"/>
      <c r="K38" s="277"/>
      <c r="L38" s="277"/>
      <c r="M38" s="277">
        <v>0</v>
      </c>
      <c r="N38" s="277">
        <v>0</v>
      </c>
      <c r="O38" s="277"/>
      <c r="P38" s="277"/>
      <c r="Q38" s="277"/>
      <c r="R38" s="277"/>
      <c r="S38" s="277">
        <v>0</v>
      </c>
      <c r="T38" s="277">
        <v>0</v>
      </c>
      <c r="U38" s="277"/>
      <c r="V38" s="277"/>
      <c r="W38" s="277"/>
      <c r="X38" s="277"/>
      <c r="Y38" s="277">
        <v>0</v>
      </c>
      <c r="Z38" s="277">
        <v>0</v>
      </c>
      <c r="AA38" s="277"/>
      <c r="AB38" s="277"/>
      <c r="AC38" s="277"/>
      <c r="AD38" s="277"/>
      <c r="AE38" s="277">
        <v>0</v>
      </c>
      <c r="AF38" s="277">
        <v>0</v>
      </c>
      <c r="AG38" s="277"/>
      <c r="AH38" s="277"/>
      <c r="AI38" s="277"/>
      <c r="AJ38" s="277"/>
      <c r="AK38" s="277">
        <v>0</v>
      </c>
      <c r="AL38" s="277">
        <f>REV!D17</f>
        <v>132017.9</v>
      </c>
      <c r="AM38" s="277"/>
      <c r="AN38" s="277"/>
      <c r="AO38" s="277"/>
      <c r="AP38" s="277"/>
      <c r="AQ38" s="277">
        <v>0</v>
      </c>
      <c r="AR38" s="277"/>
      <c r="AS38" s="277"/>
      <c r="AT38" s="277"/>
      <c r="AU38" s="277"/>
      <c r="AV38" s="277"/>
      <c r="AW38" s="277">
        <v>0</v>
      </c>
      <c r="AX38" s="277"/>
      <c r="AY38" s="277"/>
      <c r="AZ38" s="277"/>
      <c r="BA38" s="277"/>
      <c r="BB38" s="277"/>
      <c r="BC38" s="277">
        <v>0</v>
      </c>
      <c r="BD38" s="277"/>
      <c r="BE38" s="277"/>
      <c r="BF38" s="277"/>
      <c r="BG38" s="277"/>
      <c r="BH38" s="277"/>
      <c r="BI38" s="277">
        <v>0</v>
      </c>
      <c r="BJ38" s="277"/>
      <c r="BK38" s="277"/>
      <c r="BL38" s="277"/>
      <c r="BM38" s="277"/>
      <c r="BN38" s="277"/>
      <c r="BO38" s="277">
        <v>0</v>
      </c>
      <c r="BP38" s="277"/>
      <c r="BQ38" s="277"/>
      <c r="BR38" s="277"/>
      <c r="BS38" s="277"/>
      <c r="BT38" s="277"/>
      <c r="BU38" s="279">
        <v>0</v>
      </c>
      <c r="BV38" s="277"/>
      <c r="BW38" s="277"/>
      <c r="BX38" s="277"/>
      <c r="BY38" s="279">
        <f t="shared" si="4"/>
        <v>0</v>
      </c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</row>
    <row r="39" spans="1:216" ht="14.25" thickBot="1" thickTop="1">
      <c r="A39" s="48" t="s">
        <v>127</v>
      </c>
      <c r="B39" s="52" t="s">
        <v>277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>
        <v>0</v>
      </c>
      <c r="AL39" s="277">
        <f>REV!D16</f>
        <v>19380</v>
      </c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7"/>
      <c r="BQ39" s="277"/>
      <c r="BR39" s="277"/>
      <c r="BS39" s="277"/>
      <c r="BT39" s="277"/>
      <c r="BU39" s="279"/>
      <c r="BV39" s="277"/>
      <c r="BW39" s="277"/>
      <c r="BX39" s="277"/>
      <c r="BY39" s="279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</row>
    <row r="40" spans="1:216" ht="14.25" thickBot="1" thickTop="1">
      <c r="A40" s="48" t="s">
        <v>121</v>
      </c>
      <c r="B40" s="52" t="s">
        <v>153</v>
      </c>
      <c r="C40" s="277"/>
      <c r="D40" s="277"/>
      <c r="E40" s="277"/>
      <c r="F40" s="277"/>
      <c r="G40" s="277">
        <v>0</v>
      </c>
      <c r="H40" s="277">
        <v>0</v>
      </c>
      <c r="I40" s="277"/>
      <c r="J40" s="277"/>
      <c r="K40" s="277"/>
      <c r="L40" s="277"/>
      <c r="M40" s="277">
        <v>0</v>
      </c>
      <c r="N40" s="277">
        <v>0</v>
      </c>
      <c r="O40" s="277"/>
      <c r="P40" s="277"/>
      <c r="Q40" s="277"/>
      <c r="R40" s="277"/>
      <c r="S40" s="277">
        <v>0</v>
      </c>
      <c r="T40" s="277">
        <v>0</v>
      </c>
      <c r="U40" s="277"/>
      <c r="V40" s="277"/>
      <c r="W40" s="277"/>
      <c r="X40" s="277"/>
      <c r="Y40" s="277">
        <v>0</v>
      </c>
      <c r="Z40" s="277">
        <v>0</v>
      </c>
      <c r="AA40" s="277"/>
      <c r="AB40" s="277"/>
      <c r="AC40" s="277"/>
      <c r="AD40" s="277"/>
      <c r="AE40" s="277">
        <v>0</v>
      </c>
      <c r="AF40" s="277">
        <v>0</v>
      </c>
      <c r="AG40" s="277"/>
      <c r="AH40" s="277"/>
      <c r="AI40" s="277"/>
      <c r="AJ40" s="277"/>
      <c r="AK40" s="277">
        <v>0</v>
      </c>
      <c r="AL40" s="277">
        <v>0</v>
      </c>
      <c r="AM40" s="277"/>
      <c r="AN40" s="277"/>
      <c r="AO40" s="277"/>
      <c r="AP40" s="277"/>
      <c r="AQ40" s="277">
        <v>0</v>
      </c>
      <c r="AR40" s="277"/>
      <c r="AS40" s="277"/>
      <c r="AT40" s="277"/>
      <c r="AU40" s="277"/>
      <c r="AV40" s="277"/>
      <c r="AW40" s="277">
        <v>0</v>
      </c>
      <c r="AX40" s="277"/>
      <c r="AY40" s="277"/>
      <c r="AZ40" s="277"/>
      <c r="BA40" s="277"/>
      <c r="BB40" s="277"/>
      <c r="BC40" s="277">
        <v>0</v>
      </c>
      <c r="BD40" s="277"/>
      <c r="BE40" s="277"/>
      <c r="BF40" s="277"/>
      <c r="BG40" s="277"/>
      <c r="BH40" s="277"/>
      <c r="BI40" s="277">
        <v>0</v>
      </c>
      <c r="BJ40" s="277"/>
      <c r="BK40" s="277"/>
      <c r="BL40" s="277"/>
      <c r="BM40" s="277"/>
      <c r="BN40" s="277"/>
      <c r="BO40" s="277">
        <v>0</v>
      </c>
      <c r="BP40" s="277"/>
      <c r="BQ40" s="277"/>
      <c r="BR40" s="277"/>
      <c r="BS40" s="277"/>
      <c r="BT40" s="277"/>
      <c r="BU40" s="277">
        <v>0</v>
      </c>
      <c r="BV40" s="277"/>
      <c r="BW40" s="277"/>
      <c r="BX40" s="277"/>
      <c r="BY40" s="279">
        <f t="shared" si="4"/>
        <v>0</v>
      </c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</row>
    <row r="41" spans="1:216" ht="14.25" thickBot="1" thickTop="1">
      <c r="A41" s="48"/>
      <c r="B41" s="52"/>
      <c r="C41" s="277"/>
      <c r="D41" s="277"/>
      <c r="E41" s="279"/>
      <c r="F41" s="277"/>
      <c r="G41" s="279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>
        <f>SUM(T28:T40)</f>
        <v>47337877.14</v>
      </c>
      <c r="U41" s="277"/>
      <c r="V41" s="277"/>
      <c r="W41" s="277"/>
      <c r="X41" s="277"/>
      <c r="Y41" s="277"/>
      <c r="Z41" s="277">
        <f>SUM(Z28:Z40)</f>
        <v>47334583.14</v>
      </c>
      <c r="AA41" s="277"/>
      <c r="AB41" s="277"/>
      <c r="AC41" s="277"/>
      <c r="AD41" s="277"/>
      <c r="AE41" s="277"/>
      <c r="AF41" s="277">
        <f>SUM(AF28:AF40)</f>
        <v>47543092.14</v>
      </c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277"/>
      <c r="BR41" s="277"/>
      <c r="BS41" s="277"/>
      <c r="BT41" s="277"/>
      <c r="BU41" s="277"/>
      <c r="BV41" s="277"/>
      <c r="BW41" s="277"/>
      <c r="BX41" s="277"/>
      <c r="BY41" s="279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</row>
    <row r="42" spans="1:77" s="71" customFormat="1" ht="25.5" thickBot="1" thickTop="1">
      <c r="A42" s="68"/>
      <c r="B42" s="69" t="s">
        <v>154</v>
      </c>
      <c r="C42" s="58"/>
      <c r="D42" s="58"/>
      <c r="E42" s="58"/>
      <c r="F42" s="58"/>
      <c r="G42" s="58">
        <f>SUM(G28:G41)</f>
        <v>23781202</v>
      </c>
      <c r="H42" s="58">
        <f>SUM(H28:H41)</f>
        <v>26189729</v>
      </c>
      <c r="I42" s="58"/>
      <c r="J42" s="58"/>
      <c r="K42" s="58"/>
      <c r="L42" s="58"/>
      <c r="M42" s="58">
        <f>SUM(M28:M41)</f>
        <v>24476202</v>
      </c>
      <c r="N42" s="58">
        <f>SUM(N28:N41)</f>
        <v>26189729</v>
      </c>
      <c r="O42" s="58"/>
      <c r="P42" s="58"/>
      <c r="Q42" s="58"/>
      <c r="R42" s="58"/>
      <c r="S42" s="58">
        <f>SUM(S28:S41)</f>
        <v>25137702</v>
      </c>
      <c r="T42" s="58"/>
      <c r="U42" s="58"/>
      <c r="V42" s="58"/>
      <c r="W42" s="58"/>
      <c r="X42" s="58"/>
      <c r="Y42" s="58">
        <f>SUM(Y28:Y41)</f>
        <v>25756702</v>
      </c>
      <c r="Z42" s="58"/>
      <c r="AA42" s="58"/>
      <c r="AB42" s="58"/>
      <c r="AC42" s="58"/>
      <c r="AD42" s="58"/>
      <c r="AE42" s="58">
        <f>SUM(AE28:AE41)</f>
        <v>43870528</v>
      </c>
      <c r="AF42" s="58"/>
      <c r="AG42" s="58"/>
      <c r="AH42" s="58"/>
      <c r="AI42" s="58"/>
      <c r="AJ42" s="58"/>
      <c r="AK42" s="58">
        <f>SUM(AK28:AK41)</f>
        <v>44499528</v>
      </c>
      <c r="AL42" s="287">
        <f>SUM(AL28:AL41)</f>
        <v>47694490.04</v>
      </c>
      <c r="AM42" s="58"/>
      <c r="AN42" s="58"/>
      <c r="AO42" s="58"/>
      <c r="AP42" s="58"/>
      <c r="AQ42" s="58">
        <f>SUM(AQ28:AQ41)</f>
        <v>44998528</v>
      </c>
      <c r="AR42" s="58"/>
      <c r="AS42" s="58"/>
      <c r="AT42" s="58"/>
      <c r="AU42" s="58"/>
      <c r="AV42" s="58"/>
      <c r="AW42" s="58">
        <f>SUM(AW28:AW41)</f>
        <v>73585800</v>
      </c>
      <c r="AX42" s="58"/>
      <c r="AY42" s="58"/>
      <c r="AZ42" s="58"/>
      <c r="BA42" s="58"/>
      <c r="BB42" s="58"/>
      <c r="BC42" s="58">
        <f>SUM(BC28:BC41)</f>
        <v>74034800</v>
      </c>
      <c r="BD42" s="58"/>
      <c r="BE42" s="58"/>
      <c r="BF42" s="58"/>
      <c r="BG42" s="58"/>
      <c r="BH42" s="58"/>
      <c r="BI42" s="58">
        <f>SUM(BI28:BI41)</f>
        <v>74473800</v>
      </c>
      <c r="BJ42" s="58"/>
      <c r="BK42" s="58"/>
      <c r="BL42" s="58"/>
      <c r="BM42" s="58"/>
      <c r="BN42" s="58"/>
      <c r="BO42" s="58">
        <f>SUM(BO28:BO41)</f>
        <v>74872800</v>
      </c>
      <c r="BP42" s="58"/>
      <c r="BQ42" s="58"/>
      <c r="BR42" s="58"/>
      <c r="BS42" s="58"/>
      <c r="BT42" s="58"/>
      <c r="BU42" s="58">
        <f>SUM(BU28:BU41)</f>
        <v>75280800</v>
      </c>
      <c r="BV42" s="58"/>
      <c r="BW42" s="287"/>
      <c r="BX42" s="58"/>
      <c r="BY42" s="70">
        <f>SUM(BY28:BY41)</f>
        <v>75280800</v>
      </c>
    </row>
    <row r="43" spans="3:216" ht="13.5" thickTop="1"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288"/>
      <c r="BX43" s="72"/>
      <c r="BY43" s="72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</row>
    <row r="44" spans="3:216" ht="12.75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288"/>
      <c r="BX44" s="72"/>
      <c r="BY44" s="72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</row>
    <row r="45" spans="3:216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288"/>
      <c r="BX45" s="72"/>
      <c r="BY45" s="72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</row>
    <row r="46" spans="3:216" ht="12.75"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288"/>
      <c r="BX46" s="72"/>
      <c r="BY46" s="72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</row>
    <row r="47" spans="3:216" ht="12.75"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288"/>
      <c r="BX47" s="72"/>
      <c r="BY47" s="72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</row>
  </sheetData>
  <sheetProtection/>
  <mergeCells count="64">
    <mergeCell ref="A4:G4"/>
    <mergeCell ref="C5:H5"/>
    <mergeCell ref="I5:N5"/>
    <mergeCell ref="O5:T5"/>
    <mergeCell ref="U5:Z5"/>
    <mergeCell ref="AA5:AF5"/>
    <mergeCell ref="AG5:AL5"/>
    <mergeCell ref="AM5:AR5"/>
    <mergeCell ref="AS5:AX5"/>
    <mergeCell ref="AY5:BD5"/>
    <mergeCell ref="BE5:BJ5"/>
    <mergeCell ref="BK5:BP5"/>
    <mergeCell ref="BQ5:BV5"/>
    <mergeCell ref="BW5:BY5"/>
    <mergeCell ref="C6:H6"/>
    <mergeCell ref="I6:N6"/>
    <mergeCell ref="O6:T6"/>
    <mergeCell ref="U6:Z6"/>
    <mergeCell ref="AA6:AF6"/>
    <mergeCell ref="AG6:AL6"/>
    <mergeCell ref="AM6:AR6"/>
    <mergeCell ref="AS6:AX6"/>
    <mergeCell ref="AY6:BD6"/>
    <mergeCell ref="BE6:BJ6"/>
    <mergeCell ref="BK6:BP6"/>
    <mergeCell ref="BQ6:BV6"/>
    <mergeCell ref="C22:E22"/>
    <mergeCell ref="I22:K22"/>
    <mergeCell ref="O22:Q22"/>
    <mergeCell ref="U22:W22"/>
    <mergeCell ref="AA22:AC22"/>
    <mergeCell ref="AG22:AI22"/>
    <mergeCell ref="AM22:AO22"/>
    <mergeCell ref="AS22:AU22"/>
    <mergeCell ref="AY22:BA22"/>
    <mergeCell ref="BE22:BG22"/>
    <mergeCell ref="BK22:BM22"/>
    <mergeCell ref="BQ22:BS22"/>
    <mergeCell ref="BW22:BX22"/>
    <mergeCell ref="C23:H23"/>
    <mergeCell ref="I23:N23"/>
    <mergeCell ref="O23:T23"/>
    <mergeCell ref="U23:Z23"/>
    <mergeCell ref="AA23:AF23"/>
    <mergeCell ref="AG23:AL23"/>
    <mergeCell ref="AM23:AR23"/>
    <mergeCell ref="AS23:AX23"/>
    <mergeCell ref="AY23:BD23"/>
    <mergeCell ref="BE23:BJ23"/>
    <mergeCell ref="BK23:BP23"/>
    <mergeCell ref="BQ23:BV23"/>
    <mergeCell ref="BW23:BY23"/>
    <mergeCell ref="C24:H24"/>
    <mergeCell ref="I24:N24"/>
    <mergeCell ref="O24:T24"/>
    <mergeCell ref="U24:Z24"/>
    <mergeCell ref="AA24:AF24"/>
    <mergeCell ref="AG24:AL24"/>
    <mergeCell ref="AM24:AR24"/>
    <mergeCell ref="AS24:AX24"/>
    <mergeCell ref="AY24:BD24"/>
    <mergeCell ref="BE24:BJ24"/>
    <mergeCell ref="BK24:BP24"/>
    <mergeCell ref="BQ24:BV24"/>
  </mergeCells>
  <printOptions/>
  <pageMargins left="0.2755905511811024" right="0.15748031496062992" top="0.32" bottom="0.31" header="0.2" footer="0.1968503937007874"/>
  <pageSetup firstPageNumber="2" useFirstPageNumber="1" fitToWidth="5" horizontalDpi="600" verticalDpi="600" orientation="landscape" scale="86" r:id="rId1"/>
  <headerFooter alignWithMargins="0"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11.8515625" style="0" customWidth="1"/>
    <col min="2" max="2" width="33.140625" style="0" customWidth="1"/>
    <col min="3" max="4" width="13.7109375" style="0" customWidth="1"/>
    <col min="5" max="5" width="14.57421875" style="73" customWidth="1"/>
    <col min="6" max="6" width="15.8515625" style="0" customWidth="1"/>
    <col min="7" max="7" width="10.421875" style="0" customWidth="1"/>
  </cols>
  <sheetData>
    <row r="1" spans="1:6" ht="18">
      <c r="A1" s="6"/>
      <c r="B1" s="304" t="s">
        <v>155</v>
      </c>
      <c r="C1" s="304"/>
      <c r="D1" s="304"/>
      <c r="E1" s="304"/>
      <c r="F1" s="304"/>
    </row>
    <row r="2" spans="1:6" ht="15.75">
      <c r="A2" s="6"/>
      <c r="B2" s="305" t="s">
        <v>156</v>
      </c>
      <c r="C2" s="305"/>
      <c r="D2" s="305"/>
      <c r="E2" s="305"/>
      <c r="F2" s="305"/>
    </row>
    <row r="3" spans="1:9" ht="15.75">
      <c r="A3" s="305" t="s">
        <v>264</v>
      </c>
      <c r="B3" s="305"/>
      <c r="C3" s="305"/>
      <c r="D3" s="305"/>
      <c r="E3" s="305"/>
      <c r="F3" s="305"/>
      <c r="G3" s="305"/>
      <c r="H3" s="45"/>
      <c r="I3" s="45"/>
    </row>
    <row r="4" spans="1:6" ht="12.75">
      <c r="A4" s="6"/>
      <c r="B4" s="1"/>
      <c r="C4" s="1"/>
      <c r="D4" s="1"/>
      <c r="E4" s="74"/>
      <c r="F4" s="1"/>
    </row>
    <row r="5" ht="12.75">
      <c r="A5" s="6"/>
    </row>
    <row r="6" spans="1:7" ht="45">
      <c r="A6" s="9" t="s">
        <v>62</v>
      </c>
      <c r="B6" s="9" t="s">
        <v>63</v>
      </c>
      <c r="C6" s="9" t="s">
        <v>64</v>
      </c>
      <c r="D6" s="9" t="s">
        <v>157</v>
      </c>
      <c r="E6" s="75" t="s">
        <v>158</v>
      </c>
      <c r="F6" s="76" t="s">
        <v>65</v>
      </c>
      <c r="G6" s="9" t="s">
        <v>66</v>
      </c>
    </row>
    <row r="7" spans="1:7" ht="14.25">
      <c r="A7" s="13"/>
      <c r="B7" s="35"/>
      <c r="C7" s="35"/>
      <c r="D7" s="35"/>
      <c r="E7" s="77"/>
      <c r="F7" s="78"/>
      <c r="G7" s="14"/>
    </row>
    <row r="8" spans="1:7" ht="14.25">
      <c r="A8" s="12"/>
      <c r="B8" s="14"/>
      <c r="C8" s="14"/>
      <c r="D8" s="14"/>
      <c r="E8" s="79"/>
      <c r="F8" s="80"/>
      <c r="G8" s="14"/>
    </row>
    <row r="9" spans="1:7" ht="14.25">
      <c r="A9" s="12"/>
      <c r="B9" s="14"/>
      <c r="C9" s="19"/>
      <c r="D9" s="19"/>
      <c r="E9" s="79"/>
      <c r="F9" s="81"/>
      <c r="G9" s="14"/>
    </row>
    <row r="10" spans="1:7" ht="14.25">
      <c r="A10" s="12">
        <v>2</v>
      </c>
      <c r="B10" s="14" t="s">
        <v>68</v>
      </c>
      <c r="C10" s="19">
        <v>3150000</v>
      </c>
      <c r="D10" s="19">
        <v>3938</v>
      </c>
      <c r="E10" s="79">
        <f>+C10-D10</f>
        <v>3146062</v>
      </c>
      <c r="F10" s="81">
        <f>'Don_t print this page_ Peter'!G29</f>
        <v>155282.35999999987</v>
      </c>
      <c r="G10" s="18">
        <f>+F10/E10</f>
        <v>0.049357692251455906</v>
      </c>
    </row>
    <row r="11" spans="1:7" ht="14.25" hidden="1">
      <c r="A11" s="12"/>
      <c r="B11" s="14"/>
      <c r="C11" s="19"/>
      <c r="D11" s="19"/>
      <c r="E11" s="79"/>
      <c r="F11" s="81"/>
      <c r="G11" s="18"/>
    </row>
    <row r="12" spans="1:7" ht="14.25">
      <c r="A12" s="12"/>
      <c r="B12" s="14"/>
      <c r="C12" s="19"/>
      <c r="D12" s="19"/>
      <c r="E12" s="79"/>
      <c r="F12" s="81" t="s">
        <v>8</v>
      </c>
      <c r="G12" s="14"/>
    </row>
    <row r="13" spans="1:7" ht="14.25">
      <c r="A13" s="12">
        <v>3</v>
      </c>
      <c r="B13" s="14" t="s">
        <v>70</v>
      </c>
      <c r="C13" s="19">
        <v>10700000</v>
      </c>
      <c r="D13" s="19">
        <v>2001592.68</v>
      </c>
      <c r="E13" s="79">
        <f>+C13-D13</f>
        <v>8698407.32</v>
      </c>
      <c r="F13" s="81">
        <f>'Don_t print this page_ Peter'!G39</f>
        <v>3814224.3499999996</v>
      </c>
      <c r="G13" s="18">
        <f>+F13/E13</f>
        <v>0.43849686611364613</v>
      </c>
    </row>
    <row r="14" spans="1:7" ht="14.25">
      <c r="A14" s="12"/>
      <c r="B14" s="14"/>
      <c r="C14" s="19"/>
      <c r="D14" s="19"/>
      <c r="E14" s="79"/>
      <c r="F14" s="81"/>
      <c r="G14" s="14"/>
    </row>
    <row r="15" spans="1:7" ht="14.25">
      <c r="A15" s="12">
        <v>6</v>
      </c>
      <c r="B15" s="14" t="s">
        <v>159</v>
      </c>
      <c r="C15" s="19">
        <v>5366142</v>
      </c>
      <c r="D15" s="19">
        <v>175888</v>
      </c>
      <c r="E15" s="79">
        <f>+C15-D15</f>
        <v>5190254</v>
      </c>
      <c r="F15" s="81">
        <f>'Don_t print this page_ Peter'!G33</f>
        <v>0</v>
      </c>
      <c r="G15" s="18">
        <f>+F15/E15</f>
        <v>0</v>
      </c>
    </row>
    <row r="16" spans="1:7" ht="14.25">
      <c r="A16" s="12"/>
      <c r="B16" s="14"/>
      <c r="C16" s="19"/>
      <c r="D16" s="19"/>
      <c r="E16" s="79"/>
      <c r="F16" s="81"/>
      <c r="G16" s="14"/>
    </row>
    <row r="17" spans="1:7" ht="14.25">
      <c r="A17" s="12">
        <v>8</v>
      </c>
      <c r="B17" s="14" t="s">
        <v>80</v>
      </c>
      <c r="C17" s="82">
        <v>4800000</v>
      </c>
      <c r="D17" s="82">
        <v>1664269</v>
      </c>
      <c r="E17" s="79">
        <f>+C17-D17</f>
        <v>3135731</v>
      </c>
      <c r="F17" s="81">
        <f>'Don_t print this page_ Peter'!G25</f>
        <v>1688754.5999999999</v>
      </c>
      <c r="G17" s="18">
        <f>+F17/E17</f>
        <v>0.5385521270797782</v>
      </c>
    </row>
    <row r="18" spans="1:7" ht="14.25">
      <c r="A18" s="12"/>
      <c r="B18" s="14"/>
      <c r="C18" s="19"/>
      <c r="D18" s="19"/>
      <c r="E18" s="79"/>
      <c r="F18" s="81"/>
      <c r="G18" s="14"/>
    </row>
    <row r="19" spans="1:7" ht="14.25">
      <c r="A19" s="12">
        <v>5</v>
      </c>
      <c r="B19" s="14" t="s">
        <v>74</v>
      </c>
      <c r="C19" s="82">
        <v>150000</v>
      </c>
      <c r="D19" s="19">
        <v>0</v>
      </c>
      <c r="E19" s="79">
        <f>+C19-D19</f>
        <v>150000</v>
      </c>
      <c r="F19" s="81">
        <f>'Don_t print this page_ Peter'!G42</f>
        <v>4251.600000000006</v>
      </c>
      <c r="G19" s="18">
        <f>+F19/E19</f>
        <v>0.02834400000000004</v>
      </c>
    </row>
    <row r="20" spans="1:7" ht="14.25">
      <c r="A20" s="12"/>
      <c r="B20" s="14"/>
      <c r="C20" s="82"/>
      <c r="D20" s="19"/>
      <c r="E20" s="79"/>
      <c r="F20" s="81"/>
      <c r="G20" s="18"/>
    </row>
    <row r="21" spans="1:7" ht="14.25">
      <c r="A21" s="12">
        <v>9</v>
      </c>
      <c r="B21" s="14" t="s">
        <v>160</v>
      </c>
      <c r="C21" s="19">
        <v>3090000</v>
      </c>
      <c r="D21" s="19">
        <v>1854976.32</v>
      </c>
      <c r="E21" s="79">
        <f>+C21-D21</f>
        <v>1235023.68</v>
      </c>
      <c r="F21" s="81">
        <f>'Don_t print this page_ Peter'!G47</f>
        <v>529510.12</v>
      </c>
      <c r="G21" s="18">
        <f>+F21/E21</f>
        <v>0.42874491281009286</v>
      </c>
    </row>
    <row r="22" spans="1:7" ht="14.25">
      <c r="A22" s="12"/>
      <c r="B22" s="14"/>
      <c r="C22" s="19"/>
      <c r="D22" s="19"/>
      <c r="E22" s="79"/>
      <c r="F22" s="81"/>
      <c r="G22" s="18"/>
    </row>
    <row r="23" spans="1:7" ht="14.25">
      <c r="A23" s="12">
        <v>10</v>
      </c>
      <c r="B23" s="14" t="s">
        <v>84</v>
      </c>
      <c r="C23" s="19">
        <v>12433978</v>
      </c>
      <c r="D23" s="19">
        <v>6924552.99</v>
      </c>
      <c r="E23" s="79">
        <f>+C23-D23</f>
        <v>5509425.01</v>
      </c>
      <c r="F23" s="81">
        <f>'Don_t print this page_ Peter'!G55</f>
        <v>1694837.6200000006</v>
      </c>
      <c r="G23" s="18">
        <f>+F23/E23</f>
        <v>0.3076251363660907</v>
      </c>
    </row>
    <row r="24" spans="1:7" ht="14.25">
      <c r="A24" s="12"/>
      <c r="B24" s="14"/>
      <c r="C24" s="19"/>
      <c r="D24" s="19"/>
      <c r="E24" s="79"/>
      <c r="F24" s="81"/>
      <c r="G24" s="18"/>
    </row>
    <row r="25" spans="1:7" ht="14.25">
      <c r="A25" s="12">
        <v>13</v>
      </c>
      <c r="B25" s="14" t="s">
        <v>161</v>
      </c>
      <c r="C25" s="19">
        <v>1010000</v>
      </c>
      <c r="D25" s="19">
        <v>646413</v>
      </c>
      <c r="E25" s="79">
        <f>+C25-D25</f>
        <v>363587</v>
      </c>
      <c r="F25" s="81">
        <f>'Don_t print this page_ Peter'!G58</f>
        <v>271629.93</v>
      </c>
      <c r="G25" s="18">
        <f>+F25/E25</f>
        <v>0.7470837241155487</v>
      </c>
    </row>
    <row r="26" spans="1:7" ht="14.25">
      <c r="A26" s="12"/>
      <c r="B26" s="14"/>
      <c r="C26" s="19"/>
      <c r="D26" s="19"/>
      <c r="E26" s="79"/>
      <c r="F26" s="81"/>
      <c r="G26" s="18"/>
    </row>
    <row r="27" spans="1:7" ht="14.25">
      <c r="A27" s="12">
        <v>1</v>
      </c>
      <c r="B27" s="14" t="s">
        <v>162</v>
      </c>
      <c r="C27" s="19">
        <v>10150000</v>
      </c>
      <c r="D27" s="19">
        <v>625361</v>
      </c>
      <c r="E27" s="79">
        <f>+C27-D27</f>
        <v>9524639</v>
      </c>
      <c r="F27" s="81">
        <f>'Don_t print this page_ Peter'!G21</f>
        <v>268740.4199999999</v>
      </c>
      <c r="G27" s="18">
        <f>+F27/E27</f>
        <v>0.02821528668960576</v>
      </c>
    </row>
    <row r="28" spans="1:7" ht="14.25">
      <c r="A28" s="12"/>
      <c r="B28" s="14"/>
      <c r="C28" s="19"/>
      <c r="D28" s="19"/>
      <c r="E28" s="79"/>
      <c r="F28" s="81"/>
      <c r="G28" s="18"/>
    </row>
    <row r="29" spans="1:7" ht="14.25">
      <c r="A29" s="12">
        <v>2</v>
      </c>
      <c r="B29" s="14" t="s">
        <v>286</v>
      </c>
      <c r="C29" s="19">
        <v>1614966</v>
      </c>
      <c r="D29" s="19">
        <v>0</v>
      </c>
      <c r="E29" s="79">
        <f>+C29-D29</f>
        <v>1614966</v>
      </c>
      <c r="F29" s="81">
        <f>'Don_t print this page_ Peter'!G17</f>
        <v>1614966</v>
      </c>
      <c r="G29" s="18">
        <f>+F29/E29</f>
        <v>1</v>
      </c>
    </row>
    <row r="30" spans="1:7" ht="14.25">
      <c r="A30" s="12"/>
      <c r="B30" s="14"/>
      <c r="C30" s="19"/>
      <c r="D30" s="19"/>
      <c r="E30" s="79"/>
      <c r="F30" s="81"/>
      <c r="G30" s="18"/>
    </row>
    <row r="31" spans="1:7" ht="14.25">
      <c r="A31" s="12"/>
      <c r="B31" s="14"/>
      <c r="C31" s="19"/>
      <c r="D31" s="19"/>
      <c r="E31" s="79"/>
      <c r="F31" s="81"/>
      <c r="G31" s="14"/>
    </row>
    <row r="32" spans="1:7" ht="15">
      <c r="A32" s="36"/>
      <c r="B32" s="22"/>
      <c r="C32" s="37"/>
      <c r="D32" s="37"/>
      <c r="E32" s="83"/>
      <c r="F32" s="84"/>
      <c r="G32" s="22"/>
    </row>
    <row r="33" spans="1:7" ht="14.25">
      <c r="A33" s="12"/>
      <c r="B33" s="14"/>
      <c r="C33" s="19"/>
      <c r="D33" s="19"/>
      <c r="E33" s="79"/>
      <c r="F33" s="81"/>
      <c r="G33" s="14"/>
    </row>
    <row r="34" spans="1:7" ht="14.25">
      <c r="A34" s="12"/>
      <c r="B34" s="14"/>
      <c r="C34" s="19"/>
      <c r="D34" s="19"/>
      <c r="E34" s="79"/>
      <c r="F34" s="81"/>
      <c r="G34" s="14"/>
    </row>
    <row r="35" spans="1:7" ht="14.25">
      <c r="A35" s="12"/>
      <c r="B35" s="14"/>
      <c r="C35" s="19"/>
      <c r="D35" s="19"/>
      <c r="E35" s="79"/>
      <c r="F35" s="81"/>
      <c r="G35" s="14"/>
    </row>
    <row r="36" spans="1:7" ht="15">
      <c r="A36" s="12"/>
      <c r="B36" s="22" t="s">
        <v>87</v>
      </c>
      <c r="C36" s="19"/>
      <c r="D36" s="19"/>
      <c r="E36" s="83">
        <f>+E10+E13+E15+E17+E19++E21+E23+E25+E27+E29</f>
        <v>38568095.01</v>
      </c>
      <c r="F36" s="85">
        <f>SUM(F10:F31)</f>
        <v>10042197</v>
      </c>
      <c r="G36" s="31">
        <f>+F36/E36</f>
        <v>0.2603757587040854</v>
      </c>
    </row>
    <row r="37" spans="1:7" ht="12.75">
      <c r="A37" s="86"/>
      <c r="B37" s="86"/>
      <c r="C37" s="86"/>
      <c r="D37" s="86"/>
      <c r="E37" s="87"/>
      <c r="F37" s="88"/>
      <c r="G37" s="86"/>
    </row>
    <row r="38" spans="1:7" ht="12.75">
      <c r="A38" s="86"/>
      <c r="B38" s="86"/>
      <c r="C38" s="86"/>
      <c r="D38" s="86"/>
      <c r="E38" s="87"/>
      <c r="F38" s="88"/>
      <c r="G38" s="86"/>
    </row>
    <row r="40" ht="12.75">
      <c r="F40" s="89" t="s">
        <v>8</v>
      </c>
    </row>
  </sheetData>
  <sheetProtection/>
  <mergeCells count="3">
    <mergeCell ref="B1:F1"/>
    <mergeCell ref="B2:F2"/>
    <mergeCell ref="A3:G3"/>
  </mergeCells>
  <printOptions/>
  <pageMargins left="0.5513888888888889" right="0.35416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selection activeCell="J33" sqref="J33"/>
    </sheetView>
  </sheetViews>
  <sheetFormatPr defaultColWidth="9.140625" defaultRowHeight="12.75"/>
  <cols>
    <col min="1" max="1" width="11.28125" style="0" customWidth="1"/>
    <col min="2" max="2" width="19.8515625" style="6" customWidth="1"/>
    <col min="3" max="3" width="11.421875" style="0" customWidth="1"/>
    <col min="4" max="4" width="12.140625" style="0" customWidth="1"/>
    <col min="5" max="5" width="12.421875" style="0" customWidth="1"/>
    <col min="6" max="6" width="10.7109375" style="0" customWidth="1"/>
    <col min="7" max="7" width="13.57421875" style="0" customWidth="1"/>
    <col min="8" max="8" width="13.00390625" style="0" customWidth="1"/>
    <col min="9" max="9" width="16.00390625" style="0" customWidth="1"/>
    <col min="10" max="10" width="50.57421875" style="0" customWidth="1"/>
  </cols>
  <sheetData>
    <row r="1" spans="1:10" s="38" customFormat="1" ht="18">
      <c r="A1" s="304" t="s">
        <v>163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 s="38" customFormat="1" ht="15.75">
      <c r="A2" s="305" t="s">
        <v>259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>
      <c r="A3" s="305" t="s">
        <v>264</v>
      </c>
      <c r="B3" s="305"/>
      <c r="C3" s="305"/>
      <c r="D3" s="305"/>
      <c r="E3" s="305"/>
      <c r="F3" s="305"/>
      <c r="G3" s="305"/>
      <c r="H3" s="305"/>
      <c r="I3" s="305"/>
      <c r="J3" s="305"/>
    </row>
    <row r="4" ht="24" customHeight="1"/>
    <row r="5" spans="1:10" s="1" customFormat="1" ht="30" customHeight="1">
      <c r="A5" s="90" t="s">
        <v>164</v>
      </c>
      <c r="B5" s="90" t="s">
        <v>165</v>
      </c>
      <c r="C5" s="91" t="s">
        <v>166</v>
      </c>
      <c r="D5" s="91" t="s">
        <v>167</v>
      </c>
      <c r="E5" s="92" t="s">
        <v>168</v>
      </c>
      <c r="F5" s="92" t="s">
        <v>169</v>
      </c>
      <c r="G5" s="93" t="s">
        <v>266</v>
      </c>
      <c r="H5" s="94" t="s">
        <v>170</v>
      </c>
      <c r="I5" s="93" t="s">
        <v>267</v>
      </c>
      <c r="J5" s="90" t="s">
        <v>171</v>
      </c>
    </row>
    <row r="6" spans="1:10" s="38" customFormat="1" ht="12.75" customHeight="1">
      <c r="A6" s="95"/>
      <c r="B6" s="96"/>
      <c r="C6" s="97"/>
      <c r="D6" s="98"/>
      <c r="E6" s="98"/>
      <c r="F6" s="99"/>
      <c r="G6" s="100"/>
      <c r="H6" s="101"/>
      <c r="I6" s="102"/>
      <c r="J6" s="95"/>
    </row>
    <row r="7" spans="1:14" s="114" customFormat="1" ht="12.75" hidden="1">
      <c r="A7" s="103"/>
      <c r="B7" s="104"/>
      <c r="C7" s="105"/>
      <c r="D7" s="106"/>
      <c r="E7" s="107"/>
      <c r="F7" s="108"/>
      <c r="G7" s="109"/>
      <c r="H7" s="110"/>
      <c r="I7" s="111"/>
      <c r="J7" s="112"/>
      <c r="K7" s="113"/>
      <c r="L7" s="113"/>
      <c r="M7" s="113"/>
      <c r="N7" s="113"/>
    </row>
    <row r="8" spans="1:14" s="114" customFormat="1" ht="12.75">
      <c r="A8" s="115" t="s">
        <v>172</v>
      </c>
      <c r="B8" s="104">
        <v>2068660272</v>
      </c>
      <c r="C8" s="105" t="s">
        <v>180</v>
      </c>
      <c r="D8" s="106">
        <v>39766</v>
      </c>
      <c r="E8" s="107">
        <v>0.1208</v>
      </c>
      <c r="F8" s="108">
        <v>39946</v>
      </c>
      <c r="G8" s="133">
        <v>5000000</v>
      </c>
      <c r="H8" s="110">
        <v>51298.63</v>
      </c>
      <c r="I8" s="133">
        <v>5000000</v>
      </c>
      <c r="J8" s="116" t="s">
        <v>178</v>
      </c>
      <c r="K8" s="113"/>
      <c r="L8" s="113"/>
      <c r="M8" s="113"/>
      <c r="N8" s="113"/>
    </row>
    <row r="9" spans="1:14" s="114" customFormat="1" ht="25.5">
      <c r="A9" s="115" t="s">
        <v>172</v>
      </c>
      <c r="B9" s="104">
        <v>2068240943</v>
      </c>
      <c r="C9" s="105" t="s">
        <v>174</v>
      </c>
      <c r="D9" s="108">
        <v>39741</v>
      </c>
      <c r="E9" s="107">
        <v>0.1208</v>
      </c>
      <c r="F9" s="108">
        <v>39804</v>
      </c>
      <c r="G9" s="109">
        <v>4000000</v>
      </c>
      <c r="H9" s="110">
        <v>40173.15</v>
      </c>
      <c r="I9" s="111">
        <v>4000000</v>
      </c>
      <c r="J9" s="116" t="s">
        <v>270</v>
      </c>
      <c r="K9" s="113"/>
      <c r="L9" s="113"/>
      <c r="M9" s="113"/>
      <c r="N9" s="113"/>
    </row>
    <row r="10" spans="1:10" s="114" customFormat="1" ht="27" customHeight="1">
      <c r="A10" s="115" t="s">
        <v>172</v>
      </c>
      <c r="B10" s="117">
        <v>2061484695</v>
      </c>
      <c r="C10" s="118" t="s">
        <v>176</v>
      </c>
      <c r="D10" s="119">
        <v>39742</v>
      </c>
      <c r="E10" s="120">
        <v>0.121</v>
      </c>
      <c r="F10" s="119">
        <v>39832</v>
      </c>
      <c r="G10" s="121">
        <v>9000000</v>
      </c>
      <c r="H10" s="122">
        <v>92490.41</v>
      </c>
      <c r="I10" s="121">
        <v>9000000</v>
      </c>
      <c r="J10" s="123" t="s">
        <v>175</v>
      </c>
    </row>
    <row r="11" spans="1:10" s="114" customFormat="1" ht="25.5">
      <c r="A11" s="124" t="s">
        <v>172</v>
      </c>
      <c r="B11" s="125">
        <v>2064800486</v>
      </c>
      <c r="C11" s="126" t="s">
        <v>174</v>
      </c>
      <c r="D11" s="127">
        <v>39737</v>
      </c>
      <c r="E11" s="128">
        <v>0.1204</v>
      </c>
      <c r="F11" s="127">
        <v>39799</v>
      </c>
      <c r="G11" s="129">
        <v>7000000</v>
      </c>
      <c r="H11" s="130">
        <v>69451.51</v>
      </c>
      <c r="I11" s="129">
        <v>7000000</v>
      </c>
      <c r="J11" s="131" t="s">
        <v>271</v>
      </c>
    </row>
    <row r="12" spans="1:10" s="114" customFormat="1" ht="12.75" hidden="1">
      <c r="A12" s="103"/>
      <c r="B12" s="104"/>
      <c r="C12" s="105"/>
      <c r="D12" s="106"/>
      <c r="E12" s="107"/>
      <c r="F12" s="108"/>
      <c r="G12" s="109"/>
      <c r="H12" s="110"/>
      <c r="I12" s="109"/>
      <c r="J12" s="116"/>
    </row>
    <row r="13" spans="1:10" s="114" customFormat="1" ht="12.75">
      <c r="A13" s="103"/>
      <c r="B13" s="104"/>
      <c r="C13" s="105"/>
      <c r="D13" s="106"/>
      <c r="E13" s="107"/>
      <c r="F13" s="108"/>
      <c r="G13" s="109"/>
      <c r="H13" s="110"/>
      <c r="I13" s="109"/>
      <c r="J13" s="116"/>
    </row>
    <row r="14" spans="1:10" s="114" customFormat="1" ht="12.75">
      <c r="A14" s="115" t="s">
        <v>177</v>
      </c>
      <c r="B14" s="117">
        <v>74201126923</v>
      </c>
      <c r="C14" s="118" t="s">
        <v>176</v>
      </c>
      <c r="D14" s="132">
        <v>39741</v>
      </c>
      <c r="E14" s="120">
        <v>0.122</v>
      </c>
      <c r="F14" s="119">
        <v>39833</v>
      </c>
      <c r="G14" s="133">
        <v>5000000</v>
      </c>
      <c r="H14" s="122">
        <v>51808.22</v>
      </c>
      <c r="I14" s="133">
        <v>5000000</v>
      </c>
      <c r="J14" s="116" t="s">
        <v>178</v>
      </c>
    </row>
    <row r="15" spans="1:10" s="114" customFormat="1" ht="12.75" hidden="1">
      <c r="A15" s="115"/>
      <c r="B15" s="117"/>
      <c r="C15" s="118"/>
      <c r="D15" s="119"/>
      <c r="E15" s="120"/>
      <c r="F15" s="119"/>
      <c r="G15" s="133"/>
      <c r="H15" s="134"/>
      <c r="I15" s="133"/>
      <c r="J15" s="116"/>
    </row>
    <row r="16" spans="1:10" s="114" customFormat="1" ht="25.5">
      <c r="A16" s="115" t="s">
        <v>177</v>
      </c>
      <c r="B16" s="117">
        <v>74167075248</v>
      </c>
      <c r="C16" s="118" t="s">
        <v>176</v>
      </c>
      <c r="D16" s="119">
        <v>39693</v>
      </c>
      <c r="E16" s="120">
        <v>0.12</v>
      </c>
      <c r="F16" s="119">
        <v>39783</v>
      </c>
      <c r="G16" s="133">
        <v>9000000</v>
      </c>
      <c r="H16" s="122">
        <v>0</v>
      </c>
      <c r="I16" s="133">
        <v>0</v>
      </c>
      <c r="J16" s="116" t="s">
        <v>272</v>
      </c>
    </row>
    <row r="17" spans="1:10" s="114" customFormat="1" ht="25.5">
      <c r="A17" s="135" t="s">
        <v>177</v>
      </c>
      <c r="B17" s="136">
        <v>74171457101</v>
      </c>
      <c r="C17" s="137" t="s">
        <v>173</v>
      </c>
      <c r="D17" s="138">
        <v>39759</v>
      </c>
      <c r="E17" s="139">
        <v>0.119</v>
      </c>
      <c r="F17" s="138">
        <v>39791</v>
      </c>
      <c r="G17" s="140">
        <v>5000000</v>
      </c>
      <c r="H17" s="141">
        <v>47819.18</v>
      </c>
      <c r="I17" s="140">
        <v>5000000</v>
      </c>
      <c r="J17" s="142" t="s">
        <v>273</v>
      </c>
    </row>
    <row r="18" spans="1:10" s="114" customFormat="1" ht="12.75" hidden="1">
      <c r="A18" s="143"/>
      <c r="B18" s="144"/>
      <c r="C18" s="145"/>
      <c r="D18" s="146"/>
      <c r="E18" s="147"/>
      <c r="F18" s="148"/>
      <c r="G18" s="149"/>
      <c r="H18" s="150"/>
      <c r="I18" s="149"/>
      <c r="J18" s="151"/>
    </row>
    <row r="19" spans="1:10" s="114" customFormat="1" ht="12.75">
      <c r="A19" s="103"/>
      <c r="B19" s="104"/>
      <c r="C19" s="105"/>
      <c r="D19" s="106"/>
      <c r="E19" s="107"/>
      <c r="F19" s="108"/>
      <c r="G19" s="109"/>
      <c r="H19" s="110"/>
      <c r="I19" s="109"/>
      <c r="J19" s="116"/>
    </row>
    <row r="20" spans="1:10" s="114" customFormat="1" ht="12.75">
      <c r="A20" s="103" t="s">
        <v>179</v>
      </c>
      <c r="B20" s="104" t="s">
        <v>263</v>
      </c>
      <c r="C20" s="118" t="s">
        <v>262</v>
      </c>
      <c r="D20" s="119">
        <v>39770</v>
      </c>
      <c r="E20" s="120">
        <v>0.1215</v>
      </c>
      <c r="F20" s="119">
        <v>39861</v>
      </c>
      <c r="G20" s="109">
        <v>5000000</v>
      </c>
      <c r="H20" s="122">
        <v>51595.89</v>
      </c>
      <c r="I20" s="109">
        <v>5000000</v>
      </c>
      <c r="J20" s="116" t="s">
        <v>178</v>
      </c>
    </row>
    <row r="21" spans="1:10" s="114" customFormat="1" ht="12.75">
      <c r="A21" s="103" t="s">
        <v>179</v>
      </c>
      <c r="B21" s="104" t="s">
        <v>269</v>
      </c>
      <c r="C21" s="118" t="s">
        <v>262</v>
      </c>
      <c r="D21" s="132">
        <v>39783</v>
      </c>
      <c r="E21" s="120">
        <v>0.1195</v>
      </c>
      <c r="F21" s="119">
        <v>39874</v>
      </c>
      <c r="G21" s="109">
        <v>0</v>
      </c>
      <c r="H21" s="122">
        <v>91343.84</v>
      </c>
      <c r="I21" s="109">
        <v>9000000</v>
      </c>
      <c r="J21" s="116" t="s">
        <v>268</v>
      </c>
    </row>
    <row r="22" spans="1:10" s="114" customFormat="1" ht="12.75">
      <c r="A22" s="103" t="s">
        <v>179</v>
      </c>
      <c r="B22" s="104" t="s">
        <v>260</v>
      </c>
      <c r="C22" s="105" t="s">
        <v>180</v>
      </c>
      <c r="D22" s="108">
        <v>39707</v>
      </c>
      <c r="E22" s="107">
        <v>0.12050000000000001</v>
      </c>
      <c r="F22" s="108">
        <v>39888</v>
      </c>
      <c r="G22" s="109">
        <v>5000000</v>
      </c>
      <c r="H22" s="110">
        <v>51171.23</v>
      </c>
      <c r="I22" s="109">
        <v>5000000</v>
      </c>
      <c r="J22" s="116" t="s">
        <v>178</v>
      </c>
    </row>
    <row r="23" spans="1:10" s="114" customFormat="1" ht="12.75">
      <c r="A23" s="135" t="s">
        <v>179</v>
      </c>
      <c r="B23" s="136" t="s">
        <v>261</v>
      </c>
      <c r="C23" s="145" t="s">
        <v>262</v>
      </c>
      <c r="D23" s="148">
        <v>39780</v>
      </c>
      <c r="E23" s="147">
        <v>0.1195</v>
      </c>
      <c r="F23" s="148">
        <v>39871</v>
      </c>
      <c r="G23" s="152">
        <v>5000000</v>
      </c>
      <c r="H23" s="141">
        <v>50746.58</v>
      </c>
      <c r="I23" s="153">
        <v>5000000</v>
      </c>
      <c r="J23" s="142" t="s">
        <v>178</v>
      </c>
    </row>
    <row r="24" spans="1:10" s="114" customFormat="1" ht="12.75">
      <c r="A24" s="103"/>
      <c r="B24" s="104"/>
      <c r="C24" s="105"/>
      <c r="D24" s="106"/>
      <c r="E24" s="107"/>
      <c r="F24" s="108"/>
      <c r="G24" s="109"/>
      <c r="H24" s="110"/>
      <c r="I24" s="109"/>
      <c r="J24" s="116"/>
    </row>
    <row r="25" spans="1:10" s="114" customFormat="1" ht="12.75">
      <c r="A25" s="154" t="s">
        <v>181</v>
      </c>
      <c r="B25" s="104">
        <v>89367</v>
      </c>
      <c r="C25" s="105" t="s">
        <v>176</v>
      </c>
      <c r="D25" s="108">
        <v>39738</v>
      </c>
      <c r="E25" s="107">
        <v>0.1208</v>
      </c>
      <c r="F25" s="108">
        <v>39829</v>
      </c>
      <c r="G25" s="109">
        <v>5000000</v>
      </c>
      <c r="H25" s="110">
        <v>51298.63</v>
      </c>
      <c r="I25" s="109">
        <v>5000000</v>
      </c>
      <c r="J25" s="116" t="s">
        <v>178</v>
      </c>
    </row>
    <row r="26" spans="1:10" s="114" customFormat="1" ht="12.75">
      <c r="A26" s="154" t="s">
        <v>181</v>
      </c>
      <c r="B26" s="104" t="s">
        <v>182</v>
      </c>
      <c r="C26" s="155" t="s">
        <v>183</v>
      </c>
      <c r="D26" s="106">
        <v>38916</v>
      </c>
      <c r="E26" s="107">
        <v>0.114</v>
      </c>
      <c r="F26" s="108" t="s">
        <v>183</v>
      </c>
      <c r="G26" s="109">
        <v>4000000</v>
      </c>
      <c r="H26" s="156">
        <v>37632.88</v>
      </c>
      <c r="I26" s="109">
        <v>4000000</v>
      </c>
      <c r="J26" s="112" t="s">
        <v>178</v>
      </c>
    </row>
    <row r="27" spans="1:10" s="114" customFormat="1" ht="12.75">
      <c r="A27" s="157" t="s">
        <v>181</v>
      </c>
      <c r="B27" s="144">
        <v>380776</v>
      </c>
      <c r="C27" s="158" t="s">
        <v>174</v>
      </c>
      <c r="D27" s="148">
        <v>39763</v>
      </c>
      <c r="E27" s="147">
        <v>0.1204</v>
      </c>
      <c r="F27" s="148">
        <v>39825</v>
      </c>
      <c r="G27" s="149">
        <v>5000000</v>
      </c>
      <c r="H27" s="159">
        <v>51128.77</v>
      </c>
      <c r="I27" s="149">
        <v>5000000</v>
      </c>
      <c r="J27" s="160" t="s">
        <v>175</v>
      </c>
    </row>
    <row r="28" spans="1:10" s="114" customFormat="1" ht="12.75">
      <c r="A28" s="157"/>
      <c r="B28" s="144"/>
      <c r="C28" s="158"/>
      <c r="D28" s="146"/>
      <c r="E28" s="147"/>
      <c r="F28" s="148"/>
      <c r="G28" s="149"/>
      <c r="H28" s="159"/>
      <c r="I28" s="149"/>
      <c r="J28" s="160"/>
    </row>
    <row r="29" spans="1:10" s="114" customFormat="1" ht="12.75" hidden="1">
      <c r="A29" s="154"/>
      <c r="B29" s="104"/>
      <c r="C29" s="155"/>
      <c r="D29" s="106"/>
      <c r="E29" s="107"/>
      <c r="F29" s="108"/>
      <c r="G29" s="109"/>
      <c r="H29" s="156"/>
      <c r="I29" s="109"/>
      <c r="J29" s="161"/>
    </row>
    <row r="30" spans="1:10" s="114" customFormat="1" ht="12.75">
      <c r="A30" s="154"/>
      <c r="B30" s="104"/>
      <c r="C30" s="155"/>
      <c r="D30" s="106"/>
      <c r="E30" s="107"/>
      <c r="F30" s="108"/>
      <c r="G30" s="162"/>
      <c r="H30" s="156"/>
      <c r="I30" s="109"/>
      <c r="J30" s="161"/>
    </row>
    <row r="31" spans="1:10" s="114" customFormat="1" ht="12.75">
      <c r="A31" s="103" t="s">
        <v>184</v>
      </c>
      <c r="B31" s="104" t="s">
        <v>185</v>
      </c>
      <c r="C31" s="105" t="s">
        <v>183</v>
      </c>
      <c r="D31" s="106">
        <v>39629</v>
      </c>
      <c r="E31" s="163">
        <v>0.115</v>
      </c>
      <c r="F31" s="108" t="s">
        <v>183</v>
      </c>
      <c r="G31" s="109">
        <v>8000000</v>
      </c>
      <c r="H31" s="110">
        <v>76624.66</v>
      </c>
      <c r="I31" s="109">
        <v>8000000</v>
      </c>
      <c r="J31" s="112" t="s">
        <v>175</v>
      </c>
    </row>
    <row r="32" spans="1:11" s="114" customFormat="1" ht="12.75">
      <c r="A32" s="103" t="s">
        <v>184</v>
      </c>
      <c r="B32" s="104" t="s">
        <v>186</v>
      </c>
      <c r="C32" s="105" t="s">
        <v>180</v>
      </c>
      <c r="D32" s="108">
        <v>39644</v>
      </c>
      <c r="E32" s="163">
        <v>0.1252</v>
      </c>
      <c r="F32" s="108">
        <v>39826</v>
      </c>
      <c r="G32" s="109">
        <v>8000000</v>
      </c>
      <c r="H32" s="110">
        <v>85067.4</v>
      </c>
      <c r="I32" s="109">
        <v>8000000</v>
      </c>
      <c r="J32" s="112" t="s">
        <v>175</v>
      </c>
      <c r="K32" s="114" t="s">
        <v>8</v>
      </c>
    </row>
    <row r="33" spans="1:10" s="114" customFormat="1" ht="12.75">
      <c r="A33" s="103" t="s">
        <v>184</v>
      </c>
      <c r="B33" s="104" t="s">
        <v>185</v>
      </c>
      <c r="C33" s="105" t="s">
        <v>180</v>
      </c>
      <c r="D33" s="108">
        <v>39755</v>
      </c>
      <c r="E33" s="163">
        <v>0.122</v>
      </c>
      <c r="F33" s="108">
        <v>39938</v>
      </c>
      <c r="G33" s="109">
        <v>5000000</v>
      </c>
      <c r="H33" s="110">
        <v>51808.22</v>
      </c>
      <c r="I33" s="109">
        <v>5000000</v>
      </c>
      <c r="J33" s="112" t="s">
        <v>175</v>
      </c>
    </row>
    <row r="34" spans="1:10" s="114" customFormat="1" ht="12.75">
      <c r="A34" s="103" t="s">
        <v>184</v>
      </c>
      <c r="B34" s="104" t="s">
        <v>187</v>
      </c>
      <c r="C34" s="105" t="s">
        <v>176</v>
      </c>
      <c r="D34" s="108">
        <v>39766</v>
      </c>
      <c r="E34" s="163">
        <v>0.1226</v>
      </c>
      <c r="F34" s="108">
        <v>39860</v>
      </c>
      <c r="G34" s="109">
        <v>10000000</v>
      </c>
      <c r="H34" s="110">
        <v>104126.03</v>
      </c>
      <c r="I34" s="109">
        <v>10000000</v>
      </c>
      <c r="J34" s="112" t="s">
        <v>175</v>
      </c>
    </row>
    <row r="35" spans="1:10" s="114" customFormat="1" ht="12.75">
      <c r="A35" s="164"/>
      <c r="B35" s="165"/>
      <c r="C35" s="166"/>
      <c r="D35" s="167"/>
      <c r="E35" s="168"/>
      <c r="F35" s="169"/>
      <c r="G35" s="170"/>
      <c r="H35" s="171"/>
      <c r="I35" s="170"/>
      <c r="J35" s="172"/>
    </row>
    <row r="36" spans="1:10" s="38" customFormat="1" ht="12.75">
      <c r="A36" s="173"/>
      <c r="B36" s="174"/>
      <c r="C36" s="175"/>
      <c r="D36" s="176"/>
      <c r="E36" s="177"/>
      <c r="F36" s="178"/>
      <c r="G36" s="179">
        <f>SUM(G7:G34)</f>
        <v>104000000</v>
      </c>
      <c r="H36" s="180">
        <f>SUM(H6:H35)</f>
        <v>1055585.23</v>
      </c>
      <c r="I36" s="181">
        <f>SUM(I6:I34)</f>
        <v>104000000</v>
      </c>
      <c r="J36" s="182"/>
    </row>
    <row r="37" spans="2:9" s="114" customFormat="1" ht="12.75">
      <c r="B37" s="183"/>
      <c r="G37" s="114" t="s">
        <v>8</v>
      </c>
      <c r="I37" s="184"/>
    </row>
    <row r="38" s="114" customFormat="1" ht="12.75">
      <c r="B38" s="183"/>
    </row>
    <row r="39" spans="1:2" s="114" customFormat="1" ht="12.75">
      <c r="A39" s="103"/>
      <c r="B39" s="183"/>
    </row>
    <row r="40" spans="2:6" s="114" customFormat="1" ht="12.75">
      <c r="B40" s="183"/>
      <c r="F40" s="114" t="s">
        <v>8</v>
      </c>
    </row>
  </sheetData>
  <sheetProtection/>
  <mergeCells count="3">
    <mergeCell ref="A1:J1"/>
    <mergeCell ref="A2:J2"/>
    <mergeCell ref="A3:J3"/>
  </mergeCells>
  <printOptions/>
  <pageMargins left="0.5511811023622047" right="0.35433070866141736" top="0.7874015748031497" bottom="0.7874015748031497" header="0.5118110236220472" footer="0.5118110236220472"/>
  <pageSetup fitToHeight="1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22">
      <selection activeCell="H78" sqref="H78"/>
    </sheetView>
  </sheetViews>
  <sheetFormatPr defaultColWidth="9.140625" defaultRowHeight="12.75"/>
  <cols>
    <col min="1" max="1" width="11.28125" style="0" customWidth="1"/>
    <col min="2" max="2" width="52.28125" style="6" customWidth="1"/>
    <col min="3" max="3" width="13.57421875" style="0" customWidth="1"/>
    <col min="4" max="4" width="18.00390625" style="0" customWidth="1"/>
    <col min="5" max="5" width="14.28125" style="0" customWidth="1"/>
    <col min="6" max="6" width="17.421875" style="0" customWidth="1"/>
    <col min="7" max="7" width="14.7109375" style="185" customWidth="1"/>
    <col min="8" max="8" width="14.28125" style="0" customWidth="1"/>
    <col min="9" max="9" width="35.28125" style="0" customWidth="1"/>
  </cols>
  <sheetData>
    <row r="1" spans="1:8" ht="20.25">
      <c r="A1" s="186"/>
      <c r="B1" s="187" t="s">
        <v>188</v>
      </c>
      <c r="D1" s="188"/>
      <c r="E1" s="188"/>
      <c r="F1" s="188"/>
      <c r="G1" s="189"/>
      <c r="H1" s="190"/>
    </row>
    <row r="2" spans="1:8" ht="20.25">
      <c r="A2" s="186"/>
      <c r="B2" s="190"/>
      <c r="C2" s="191"/>
      <c r="D2" s="190"/>
      <c r="E2" s="190"/>
      <c r="F2" s="190"/>
      <c r="G2" s="192"/>
      <c r="H2" s="190"/>
    </row>
    <row r="3" spans="1:8" ht="25.5">
      <c r="A3" s="94" t="s">
        <v>189</v>
      </c>
      <c r="B3" s="94" t="s">
        <v>190</v>
      </c>
      <c r="C3" s="94" t="s">
        <v>191</v>
      </c>
      <c r="D3" s="94" t="s">
        <v>192</v>
      </c>
      <c r="E3" s="94" t="s">
        <v>193</v>
      </c>
      <c r="F3" s="193" t="s">
        <v>194</v>
      </c>
      <c r="G3" s="194" t="s">
        <v>195</v>
      </c>
      <c r="H3" s="94" t="s">
        <v>196</v>
      </c>
    </row>
    <row r="4" spans="1:8" ht="12.75">
      <c r="A4" s="195"/>
      <c r="B4" s="196" t="s">
        <v>197</v>
      </c>
      <c r="C4" s="197"/>
      <c r="D4" s="198"/>
      <c r="E4" s="198"/>
      <c r="F4" s="199"/>
      <c r="G4" s="200"/>
      <c r="H4" s="201"/>
    </row>
    <row r="5" spans="1:8" ht="12.75" hidden="1">
      <c r="A5" s="202"/>
      <c r="B5" s="203"/>
      <c r="C5" s="197"/>
      <c r="D5" s="204"/>
      <c r="E5" s="198"/>
      <c r="F5" s="199"/>
      <c r="G5" s="200"/>
      <c r="H5" s="201"/>
    </row>
    <row r="6" spans="1:8" ht="12.75" hidden="1">
      <c r="A6" s="205"/>
      <c r="B6" s="206"/>
      <c r="C6" s="197"/>
      <c r="D6" s="198"/>
      <c r="E6" s="198"/>
      <c r="F6" s="199"/>
      <c r="G6" s="200"/>
      <c r="H6" s="201"/>
    </row>
    <row r="7" spans="1:8" ht="12.75" hidden="1">
      <c r="A7" s="195"/>
      <c r="B7" s="206"/>
      <c r="C7" s="197"/>
      <c r="D7" s="198"/>
      <c r="E7" s="198"/>
      <c r="F7" s="199"/>
      <c r="G7" s="200"/>
      <c r="H7" s="201"/>
    </row>
    <row r="8" spans="1:8" ht="12.75" hidden="1">
      <c r="A8" s="205"/>
      <c r="B8" s="206"/>
      <c r="C8" s="197"/>
      <c r="D8" s="198"/>
      <c r="E8" s="198"/>
      <c r="F8" s="199"/>
      <c r="G8" s="200"/>
      <c r="H8" s="201"/>
    </row>
    <row r="9" spans="1:8" ht="12.75" hidden="1">
      <c r="A9" s="195"/>
      <c r="B9" s="206"/>
      <c r="C9" s="197"/>
      <c r="D9" s="198"/>
      <c r="E9" s="198"/>
      <c r="F9" s="199"/>
      <c r="G9" s="200"/>
      <c r="H9" s="201"/>
    </row>
    <row r="10" spans="1:8" ht="12.75" hidden="1">
      <c r="A10" s="195"/>
      <c r="B10" s="206"/>
      <c r="C10" s="197"/>
      <c r="D10" s="207"/>
      <c r="E10" s="207"/>
      <c r="F10" s="199"/>
      <c r="G10" s="200"/>
      <c r="H10" s="201"/>
    </row>
    <row r="11" spans="1:8" ht="12.75" hidden="1">
      <c r="A11" s="205"/>
      <c r="B11" s="208"/>
      <c r="C11" s="197"/>
      <c r="D11" s="201"/>
      <c r="E11" s="201"/>
      <c r="F11" s="199"/>
      <c r="G11" s="200"/>
      <c r="H11" s="201"/>
    </row>
    <row r="12" spans="1:8" ht="12.75" hidden="1">
      <c r="A12" s="205"/>
      <c r="B12" s="208"/>
      <c r="C12" s="197"/>
      <c r="D12" s="201"/>
      <c r="E12" s="209"/>
      <c r="F12" s="199"/>
      <c r="G12" s="200"/>
      <c r="H12" s="201"/>
    </row>
    <row r="13" spans="1:8" ht="12.75" hidden="1">
      <c r="A13" s="202"/>
      <c r="B13" s="203"/>
      <c r="C13" s="197"/>
      <c r="D13" s="204"/>
      <c r="E13" s="209"/>
      <c r="F13" s="199"/>
      <c r="G13" s="200"/>
      <c r="H13" s="201"/>
    </row>
    <row r="14" spans="1:8" ht="12.75" hidden="1">
      <c r="A14" s="205"/>
      <c r="B14" s="208"/>
      <c r="C14" s="197"/>
      <c r="D14" s="201"/>
      <c r="E14" s="209"/>
      <c r="F14" s="199"/>
      <c r="G14" s="200"/>
      <c r="H14" s="201"/>
    </row>
    <row r="15" spans="1:8" ht="12.75" hidden="1">
      <c r="A15" s="205"/>
      <c r="B15" s="208"/>
      <c r="C15" s="197"/>
      <c r="D15" s="201"/>
      <c r="E15" s="209"/>
      <c r="F15" s="199"/>
      <c r="G15" s="200"/>
      <c r="H15" s="201"/>
    </row>
    <row r="16" spans="1:8" ht="12.75">
      <c r="A16" s="210" t="s">
        <v>198</v>
      </c>
      <c r="B16" s="208" t="s">
        <v>199</v>
      </c>
      <c r="C16" s="197" t="s">
        <v>200</v>
      </c>
      <c r="D16" s="198">
        <v>1614966</v>
      </c>
      <c r="E16" s="198">
        <v>0</v>
      </c>
      <c r="F16" s="199">
        <f>+D16-E16</f>
        <v>1614966</v>
      </c>
      <c r="G16" s="200">
        <f>+F16-H16</f>
        <v>1614966</v>
      </c>
      <c r="H16" s="198">
        <v>0</v>
      </c>
    </row>
    <row r="17" spans="1:8" ht="12.75">
      <c r="A17" s="210"/>
      <c r="B17" s="208"/>
      <c r="C17" s="211"/>
      <c r="D17" s="212">
        <f>SUM(D5:D16)</f>
        <v>1614966</v>
      </c>
      <c r="E17" s="212">
        <f>SUM(E5:E16)</f>
        <v>0</v>
      </c>
      <c r="F17" s="295">
        <f>SUM(F5:F16)</f>
        <v>1614966</v>
      </c>
      <c r="G17" s="237">
        <f>SUM(G5:G16)</f>
        <v>1614966</v>
      </c>
      <c r="H17" s="215">
        <f>SUM(H5:H16)</f>
        <v>0</v>
      </c>
    </row>
    <row r="18" spans="1:8" ht="12.75">
      <c r="A18" s="210"/>
      <c r="B18" s="216" t="s">
        <v>201</v>
      </c>
      <c r="C18" s="211"/>
      <c r="D18" s="212"/>
      <c r="E18" s="212"/>
      <c r="F18" s="295"/>
      <c r="G18" s="238"/>
      <c r="H18" s="215"/>
    </row>
    <row r="19" spans="1:8" ht="12.75">
      <c r="A19" s="218" t="s">
        <v>202</v>
      </c>
      <c r="B19" s="219" t="s">
        <v>203</v>
      </c>
      <c r="C19" s="220">
        <v>2008</v>
      </c>
      <c r="D19" s="221">
        <v>150000</v>
      </c>
      <c r="E19" s="201">
        <v>0</v>
      </c>
      <c r="F19" s="199">
        <f>+D19-E19</f>
        <v>150000</v>
      </c>
      <c r="G19" s="200">
        <f>+F19-H19</f>
        <v>0</v>
      </c>
      <c r="H19" s="224">
        <v>150000</v>
      </c>
    </row>
    <row r="20" spans="1:8" ht="12.75">
      <c r="A20" s="218" t="s">
        <v>204</v>
      </c>
      <c r="B20" s="219" t="s">
        <v>205</v>
      </c>
      <c r="C20" s="211">
        <v>2008</v>
      </c>
      <c r="D20" s="221">
        <v>10000000</v>
      </c>
      <c r="E20" s="221">
        <v>625361.18</v>
      </c>
      <c r="F20" s="199">
        <f>+D20-E20</f>
        <v>9374638.82</v>
      </c>
      <c r="G20" s="200">
        <f>+F20-H20</f>
        <v>268740.4199999999</v>
      </c>
      <c r="H20" s="224">
        <v>9105898.4</v>
      </c>
    </row>
    <row r="21" spans="1:8" ht="12.75">
      <c r="A21" s="210"/>
      <c r="B21" s="216"/>
      <c r="C21" s="211"/>
      <c r="D21" s="212">
        <f>SUM(D19:D20)</f>
        <v>10150000</v>
      </c>
      <c r="E21" s="212">
        <f>SUM(E19:E20)</f>
        <v>625361.18</v>
      </c>
      <c r="F21" s="295">
        <f>SUM(F19:F20)</f>
        <v>9524638.82</v>
      </c>
      <c r="G21" s="200">
        <f>SUM(G19:G20)</f>
        <v>268740.4199999999</v>
      </c>
      <c r="H21" s="212">
        <f>SUM(H19:H20)</f>
        <v>9255898.4</v>
      </c>
    </row>
    <row r="22" spans="1:8" ht="12.75">
      <c r="A22" s="210"/>
      <c r="B22" s="216" t="s">
        <v>206</v>
      </c>
      <c r="C22" s="211"/>
      <c r="D22" s="201"/>
      <c r="E22" s="201"/>
      <c r="F22" s="199"/>
      <c r="G22" s="200"/>
      <c r="H22" s="201"/>
    </row>
    <row r="23" spans="1:8" ht="12.75">
      <c r="A23" s="210" t="s">
        <v>207</v>
      </c>
      <c r="B23" s="219" t="s">
        <v>208</v>
      </c>
      <c r="C23" s="197" t="s">
        <v>200</v>
      </c>
      <c r="D23" s="201">
        <v>1700000</v>
      </c>
      <c r="E23" s="201">
        <v>842206.47</v>
      </c>
      <c r="F23" s="199">
        <f>+D23-E23</f>
        <v>857793.53</v>
      </c>
      <c r="G23" s="200">
        <f>+F23-H23</f>
        <v>520619.82</v>
      </c>
      <c r="H23" s="201">
        <v>337173.71</v>
      </c>
    </row>
    <row r="24" spans="1:8" ht="12.75">
      <c r="A24" s="210" t="s">
        <v>209</v>
      </c>
      <c r="B24" s="208" t="s">
        <v>210</v>
      </c>
      <c r="C24" s="197" t="s">
        <v>200</v>
      </c>
      <c r="D24" s="201">
        <v>3100000</v>
      </c>
      <c r="E24" s="209">
        <v>822062.35</v>
      </c>
      <c r="F24" s="199">
        <f>+D24-E24</f>
        <v>2277937.65</v>
      </c>
      <c r="G24" s="200">
        <f>+F24-H24</f>
        <v>1168134.7799999998</v>
      </c>
      <c r="H24" s="201">
        <v>1109802.87</v>
      </c>
    </row>
    <row r="25" spans="1:8" ht="12.75">
      <c r="A25" s="210"/>
      <c r="B25" s="219"/>
      <c r="C25" s="197"/>
      <c r="D25" s="212">
        <f>SUM(D23:D24)</f>
        <v>4800000</v>
      </c>
      <c r="E25" s="212">
        <f>SUM(E23:E24)</f>
        <v>1664268.8199999998</v>
      </c>
      <c r="F25" s="295">
        <f>SUM(F23:F24)</f>
        <v>3135731.1799999997</v>
      </c>
      <c r="G25" s="200">
        <f>SUM(G23:G24)</f>
        <v>1688754.5999999999</v>
      </c>
      <c r="H25" s="212">
        <f>SUM(H23:H24)</f>
        <v>1446976.58</v>
      </c>
    </row>
    <row r="26" spans="1:8" ht="12.75">
      <c r="A26" s="210"/>
      <c r="B26" s="216" t="s">
        <v>211</v>
      </c>
      <c r="C26" s="197"/>
      <c r="D26" s="201"/>
      <c r="E26" s="209"/>
      <c r="F26" s="199"/>
      <c r="G26" s="200"/>
      <c r="H26" s="201"/>
    </row>
    <row r="27" spans="1:14" ht="12.75">
      <c r="A27" s="218" t="s">
        <v>212</v>
      </c>
      <c r="B27" s="219" t="s">
        <v>213</v>
      </c>
      <c r="C27" s="197">
        <v>2008</v>
      </c>
      <c r="D27" s="201">
        <v>150000</v>
      </c>
      <c r="E27" s="221">
        <v>0</v>
      </c>
      <c r="F27" s="296">
        <f>+D27-E27</f>
        <v>150000</v>
      </c>
      <c r="G27" s="200">
        <f>+F27-H27</f>
        <v>0</v>
      </c>
      <c r="H27" s="226">
        <v>150000</v>
      </c>
      <c r="I27" s="219"/>
      <c r="J27" s="197"/>
      <c r="K27" s="201"/>
      <c r="L27" s="221"/>
      <c r="M27" s="225"/>
      <c r="N27" s="223"/>
    </row>
    <row r="28" spans="1:14" ht="12.75">
      <c r="A28" s="218" t="s">
        <v>214</v>
      </c>
      <c r="B28" s="219" t="s">
        <v>215</v>
      </c>
      <c r="C28" s="197">
        <v>2008</v>
      </c>
      <c r="D28" s="201">
        <v>3000000</v>
      </c>
      <c r="E28" s="221">
        <v>3937.42</v>
      </c>
      <c r="F28" s="296">
        <f>+D28-E28</f>
        <v>2996062.58</v>
      </c>
      <c r="G28" s="200">
        <f>+F28-H28</f>
        <v>155282.35999999987</v>
      </c>
      <c r="H28" s="218">
        <v>2840780.22</v>
      </c>
      <c r="I28" s="219"/>
      <c r="J28" s="197"/>
      <c r="K28" s="201"/>
      <c r="L28" s="221"/>
      <c r="M28" s="225"/>
      <c r="N28" s="223"/>
    </row>
    <row r="29" spans="1:8" ht="12.75">
      <c r="A29" s="210"/>
      <c r="B29" s="208"/>
      <c r="C29" s="197"/>
      <c r="D29" s="212">
        <f>SUM(D27:D28)</f>
        <v>3150000</v>
      </c>
      <c r="E29" s="227">
        <f>SUM(E27:E28)</f>
        <v>3937.42</v>
      </c>
      <c r="F29" s="295">
        <f>SUM(F27:F28)</f>
        <v>3146062.58</v>
      </c>
      <c r="G29" s="200">
        <f>SUM(G27:G28)</f>
        <v>155282.35999999987</v>
      </c>
      <c r="H29" s="215">
        <f>SUM(H27:H28)</f>
        <v>2990780.22</v>
      </c>
    </row>
    <row r="30" spans="1:8" ht="12.75">
      <c r="A30" s="210"/>
      <c r="B30" s="216" t="s">
        <v>216</v>
      </c>
      <c r="C30" s="211"/>
      <c r="D30" s="212"/>
      <c r="E30" s="212"/>
      <c r="F30" s="295"/>
      <c r="G30" s="237"/>
      <c r="H30" s="215"/>
    </row>
    <row r="31" spans="1:8" ht="12.75">
      <c r="A31" s="218" t="s">
        <v>217</v>
      </c>
      <c r="B31" s="219" t="s">
        <v>218</v>
      </c>
      <c r="C31" s="228" t="s">
        <v>200</v>
      </c>
      <c r="D31" s="201">
        <v>4166142</v>
      </c>
      <c r="E31" s="201">
        <v>175888.13</v>
      </c>
      <c r="F31" s="296">
        <f>+D31-E31</f>
        <v>3990253.87</v>
      </c>
      <c r="G31" s="200">
        <f>+F31-H31</f>
        <v>0</v>
      </c>
      <c r="H31" s="201">
        <v>3990253.87</v>
      </c>
    </row>
    <row r="32" spans="1:8" ht="12.75">
      <c r="A32" s="218" t="s">
        <v>219</v>
      </c>
      <c r="B32" s="219" t="s">
        <v>220</v>
      </c>
      <c r="C32" s="211">
        <v>2008</v>
      </c>
      <c r="D32" s="201">
        <v>1200000</v>
      </c>
      <c r="E32" s="201">
        <v>0</v>
      </c>
      <c r="F32" s="296">
        <f>+D32-E32</f>
        <v>1200000</v>
      </c>
      <c r="G32" s="200">
        <f>+F32-H32</f>
        <v>0</v>
      </c>
      <c r="H32" s="201">
        <v>1200000</v>
      </c>
    </row>
    <row r="33" spans="1:8" ht="12.75">
      <c r="A33" s="210"/>
      <c r="B33" s="216"/>
      <c r="C33" s="211"/>
      <c r="D33" s="212">
        <f>SUM(D31:D32)</f>
        <v>5366142</v>
      </c>
      <c r="E33" s="212">
        <f>SUM(E31:E32)</f>
        <v>175888.13</v>
      </c>
      <c r="F33" s="295">
        <f>SUM(F31:F32)</f>
        <v>5190253.87</v>
      </c>
      <c r="G33" s="200">
        <f>SUM(G31:G32)</f>
        <v>0</v>
      </c>
      <c r="H33" s="212">
        <f>SUM(H31:H32)</f>
        <v>5190253.87</v>
      </c>
    </row>
    <row r="34" spans="1:8" ht="12.75">
      <c r="A34" s="210"/>
      <c r="B34" s="216" t="s">
        <v>221</v>
      </c>
      <c r="C34" s="197"/>
      <c r="D34" s="201"/>
      <c r="E34" s="201"/>
      <c r="F34" s="199"/>
      <c r="G34" s="200"/>
      <c r="H34" s="201"/>
    </row>
    <row r="35" spans="1:8" ht="12.75">
      <c r="A35" s="218" t="s">
        <v>222</v>
      </c>
      <c r="B35" s="219" t="s">
        <v>223</v>
      </c>
      <c r="C35" s="211">
        <v>2008</v>
      </c>
      <c r="D35" s="221">
        <v>3200000</v>
      </c>
      <c r="E35" s="221">
        <v>1425903.07</v>
      </c>
      <c r="F35" s="296">
        <f>+D35-E35</f>
        <v>1774096.93</v>
      </c>
      <c r="G35" s="200">
        <f>+F35-H35</f>
        <v>121558.6499999999</v>
      </c>
      <c r="H35" s="224">
        <v>1652538.28</v>
      </c>
    </row>
    <row r="36" spans="1:8" ht="12.75">
      <c r="A36" s="218" t="s">
        <v>224</v>
      </c>
      <c r="B36" s="219" t="s">
        <v>225</v>
      </c>
      <c r="C36" s="211">
        <v>2008</v>
      </c>
      <c r="D36" s="221">
        <v>3000000</v>
      </c>
      <c r="E36" s="221">
        <v>6931.36</v>
      </c>
      <c r="F36" s="296">
        <f>+D36-E36</f>
        <v>2993068.64</v>
      </c>
      <c r="G36" s="200">
        <f>+F36-H36</f>
        <v>0</v>
      </c>
      <c r="H36" s="224">
        <v>2993068.64</v>
      </c>
    </row>
    <row r="37" spans="1:8" ht="12.75">
      <c r="A37" s="218" t="s">
        <v>226</v>
      </c>
      <c r="B37" s="219" t="s">
        <v>227</v>
      </c>
      <c r="C37" s="211">
        <v>2008</v>
      </c>
      <c r="D37" s="221">
        <v>3000000</v>
      </c>
      <c r="E37" s="221">
        <v>0</v>
      </c>
      <c r="F37" s="296">
        <f>+D37-E37</f>
        <v>3000000</v>
      </c>
      <c r="G37" s="200">
        <f>+F37-H37</f>
        <v>3000000</v>
      </c>
      <c r="H37" s="221">
        <v>0</v>
      </c>
    </row>
    <row r="38" spans="1:8" ht="12.75">
      <c r="A38" s="218" t="s">
        <v>228</v>
      </c>
      <c r="B38" s="229" t="s">
        <v>229</v>
      </c>
      <c r="C38" s="211">
        <v>2008</v>
      </c>
      <c r="D38" s="201">
        <v>1500000</v>
      </c>
      <c r="E38" s="198">
        <v>568758.25</v>
      </c>
      <c r="F38" s="296">
        <f>+D38-E38</f>
        <v>931241.75</v>
      </c>
      <c r="G38" s="200">
        <f>+F38-H38</f>
        <v>692665.7</v>
      </c>
      <c r="H38" s="198">
        <v>238576.05</v>
      </c>
    </row>
    <row r="39" spans="1:8" ht="12.75">
      <c r="A39" s="210"/>
      <c r="B39" s="208"/>
      <c r="C39" s="211"/>
      <c r="D39" s="212">
        <f>SUM(D35:D38)</f>
        <v>10700000</v>
      </c>
      <c r="E39" s="234">
        <f>SUM(E35:E38)</f>
        <v>2001592.6800000002</v>
      </c>
      <c r="F39" s="295">
        <f>SUM(F35:F38)</f>
        <v>8698407.32</v>
      </c>
      <c r="G39" s="200">
        <f>SUM(G35:G38)</f>
        <v>3814224.3499999996</v>
      </c>
      <c r="H39" s="212">
        <f>SUM(H35:H38)</f>
        <v>4884182.97</v>
      </c>
    </row>
    <row r="40" spans="1:8" ht="12.75">
      <c r="A40" s="210"/>
      <c r="B40" s="216" t="s">
        <v>230</v>
      </c>
      <c r="C40" s="211"/>
      <c r="D40" s="201"/>
      <c r="E40" s="198"/>
      <c r="F40" s="199"/>
      <c r="G40" s="200"/>
      <c r="H40" s="201"/>
    </row>
    <row r="41" spans="1:8" ht="12.75">
      <c r="A41" s="218" t="s">
        <v>231</v>
      </c>
      <c r="B41" s="219" t="s">
        <v>232</v>
      </c>
      <c r="C41" s="197">
        <v>2008</v>
      </c>
      <c r="D41" s="201">
        <v>150000</v>
      </c>
      <c r="E41" s="207">
        <v>0</v>
      </c>
      <c r="F41" s="296">
        <f>+D41-E41</f>
        <v>150000</v>
      </c>
      <c r="G41" s="200">
        <f>+F41-H41</f>
        <v>4251.600000000006</v>
      </c>
      <c r="H41" s="230">
        <v>145748.4</v>
      </c>
    </row>
    <row r="42" spans="1:8" ht="12.75">
      <c r="A42" s="218"/>
      <c r="B42" s="219"/>
      <c r="C42" s="197"/>
      <c r="D42" s="212">
        <f>SUM(D41)</f>
        <v>150000</v>
      </c>
      <c r="E42" s="234">
        <f>SUM(E41)</f>
        <v>0</v>
      </c>
      <c r="F42" s="295">
        <f>SUM(F41)</f>
        <v>150000</v>
      </c>
      <c r="G42" s="200">
        <f>SUM(G41)</f>
        <v>4251.600000000006</v>
      </c>
      <c r="H42" s="215">
        <f>SUM(H41)</f>
        <v>145748.4</v>
      </c>
    </row>
    <row r="43" spans="1:8" ht="12.75">
      <c r="A43" s="210"/>
      <c r="B43" s="216" t="s">
        <v>233</v>
      </c>
      <c r="C43" s="197"/>
      <c r="D43" s="201"/>
      <c r="E43" s="207"/>
      <c r="F43" s="213"/>
      <c r="G43" s="223"/>
      <c r="H43" s="231"/>
    </row>
    <row r="44" spans="1:8" ht="12.75">
      <c r="A44" s="218" t="s">
        <v>234</v>
      </c>
      <c r="B44" s="219" t="s">
        <v>235</v>
      </c>
      <c r="C44" s="197">
        <v>2008</v>
      </c>
      <c r="D44" s="201">
        <v>500000</v>
      </c>
      <c r="E44" s="207">
        <v>79859</v>
      </c>
      <c r="F44" s="225">
        <f>+D44-E44</f>
        <v>420141</v>
      </c>
      <c r="G44" s="223">
        <f>+F44-H44</f>
        <v>9425.440000000002</v>
      </c>
      <c r="H44" s="231">
        <v>410715.56</v>
      </c>
    </row>
    <row r="45" spans="1:8" ht="12.75">
      <c r="A45" s="218" t="s">
        <v>236</v>
      </c>
      <c r="B45" s="229" t="s">
        <v>237</v>
      </c>
      <c r="C45" s="197">
        <v>2008</v>
      </c>
      <c r="D45" s="201">
        <v>1082762</v>
      </c>
      <c r="E45" s="207">
        <v>1082762</v>
      </c>
      <c r="F45" s="294">
        <v>314638.12</v>
      </c>
      <c r="G45" s="293">
        <f>+F45-H45</f>
        <v>314638.12</v>
      </c>
      <c r="H45" s="297">
        <v>0</v>
      </c>
    </row>
    <row r="46" spans="1:8" ht="12.75">
      <c r="A46" s="218" t="s">
        <v>238</v>
      </c>
      <c r="B46" s="229" t="s">
        <v>239</v>
      </c>
      <c r="C46" s="197">
        <v>2008</v>
      </c>
      <c r="D46" s="201">
        <v>1507238</v>
      </c>
      <c r="E46" s="207">
        <v>689755.44</v>
      </c>
      <c r="F46" s="294">
        <v>500244.56</v>
      </c>
      <c r="G46" s="293">
        <f>+F46-H46</f>
        <v>205446.56</v>
      </c>
      <c r="H46" s="298">
        <v>294798</v>
      </c>
    </row>
    <row r="47" spans="1:8" ht="12.75">
      <c r="A47" s="210"/>
      <c r="B47" s="208"/>
      <c r="C47" s="197"/>
      <c r="D47" s="212">
        <f>SUM(D44:D46)</f>
        <v>3090000</v>
      </c>
      <c r="E47" s="234">
        <f>SUM(E44:E46)</f>
        <v>1852376.44</v>
      </c>
      <c r="F47" s="213">
        <f>SUM(F44:F46)</f>
        <v>1235023.68</v>
      </c>
      <c r="G47" s="223">
        <f>SUM(G44:G46)</f>
        <v>529510.12</v>
      </c>
      <c r="H47" s="215">
        <f>SUM(H44:H46)</f>
        <v>705513.56</v>
      </c>
    </row>
    <row r="48" spans="1:8" ht="12.75">
      <c r="A48" s="210"/>
      <c r="B48" s="216" t="s">
        <v>240</v>
      </c>
      <c r="C48" s="197"/>
      <c r="D48" s="201"/>
      <c r="E48" s="207"/>
      <c r="F48" s="225"/>
      <c r="G48" s="223"/>
      <c r="H48" s="231"/>
    </row>
    <row r="49" spans="1:8" ht="12.75">
      <c r="A49" s="218" t="s">
        <v>241</v>
      </c>
      <c r="B49" s="229" t="s">
        <v>242</v>
      </c>
      <c r="C49" s="197">
        <v>2008</v>
      </c>
      <c r="D49" s="201">
        <v>4466000</v>
      </c>
      <c r="E49" s="207">
        <v>1794201.47</v>
      </c>
      <c r="F49" s="225">
        <f aca="true" t="shared" si="0" ref="F49:F54">+D49-E49</f>
        <v>2671798.5300000003</v>
      </c>
      <c r="G49" s="223">
        <f aca="true" t="shared" si="1" ref="G49:G54">+F49-H49</f>
        <v>728670.9100000001</v>
      </c>
      <c r="H49" s="231">
        <v>1943127.62</v>
      </c>
    </row>
    <row r="50" spans="1:8" ht="12.75">
      <c r="A50" s="218" t="s">
        <v>243</v>
      </c>
      <c r="B50" s="219" t="s">
        <v>244</v>
      </c>
      <c r="C50" s="197">
        <v>2008</v>
      </c>
      <c r="D50" s="201">
        <v>534000</v>
      </c>
      <c r="E50" s="207">
        <v>196541.38</v>
      </c>
      <c r="F50" s="225">
        <f t="shared" si="0"/>
        <v>337458.62</v>
      </c>
      <c r="G50" s="223">
        <f t="shared" si="1"/>
        <v>3790.0800000000163</v>
      </c>
      <c r="H50" s="231">
        <v>333668.54</v>
      </c>
    </row>
    <row r="51" spans="1:8" ht="12.75">
      <c r="A51" s="218" t="s">
        <v>245</v>
      </c>
      <c r="B51" s="219" t="s">
        <v>246</v>
      </c>
      <c r="C51" s="211">
        <v>2008</v>
      </c>
      <c r="D51" s="221">
        <v>253978</v>
      </c>
      <c r="E51" s="207">
        <v>153978</v>
      </c>
      <c r="F51" s="225">
        <f t="shared" si="0"/>
        <v>100000</v>
      </c>
      <c r="G51" s="223">
        <f t="shared" si="1"/>
        <v>0</v>
      </c>
      <c r="H51" s="224">
        <v>100000</v>
      </c>
    </row>
    <row r="52" spans="1:8" ht="12.75">
      <c r="A52" s="218" t="s">
        <v>247</v>
      </c>
      <c r="B52" s="229" t="s">
        <v>248</v>
      </c>
      <c r="C52" s="211">
        <v>2008</v>
      </c>
      <c r="D52" s="221">
        <v>6800000</v>
      </c>
      <c r="E52" s="207">
        <v>4695201.22</v>
      </c>
      <c r="F52" s="225">
        <f t="shared" si="0"/>
        <v>2104798.7800000003</v>
      </c>
      <c r="G52" s="223">
        <f t="shared" si="1"/>
        <v>890371.3100000003</v>
      </c>
      <c r="H52" s="232">
        <v>1214427.47</v>
      </c>
    </row>
    <row r="53" spans="1:8" ht="12.75">
      <c r="A53" s="218" t="s">
        <v>249</v>
      </c>
      <c r="B53" s="219" t="s">
        <v>250</v>
      </c>
      <c r="C53" s="211">
        <v>2008</v>
      </c>
      <c r="D53" s="221">
        <v>330000</v>
      </c>
      <c r="E53" s="221">
        <v>84631.12</v>
      </c>
      <c r="F53" s="225">
        <f t="shared" si="0"/>
        <v>245368.88</v>
      </c>
      <c r="G53" s="223">
        <f t="shared" si="1"/>
        <v>72005.32</v>
      </c>
      <c r="H53" s="224">
        <v>173363.56</v>
      </c>
    </row>
    <row r="54" spans="1:8" ht="12.75">
      <c r="A54" s="299" t="s">
        <v>284</v>
      </c>
      <c r="B54" s="300" t="s">
        <v>285</v>
      </c>
      <c r="C54" s="301">
        <v>2008</v>
      </c>
      <c r="D54" s="302">
        <v>50000</v>
      </c>
      <c r="E54" s="302">
        <v>0</v>
      </c>
      <c r="F54" s="294">
        <f t="shared" si="0"/>
        <v>50000</v>
      </c>
      <c r="G54" s="293">
        <f t="shared" si="1"/>
        <v>0</v>
      </c>
      <c r="H54" s="303">
        <v>50000</v>
      </c>
    </row>
    <row r="55" spans="1:8" ht="12.75">
      <c r="A55" s="210"/>
      <c r="B55" s="216"/>
      <c r="C55" s="211"/>
      <c r="D55" s="212">
        <f>SUM(D49:D54)</f>
        <v>12433978</v>
      </c>
      <c r="E55" s="212">
        <f>SUM(E49:E54)</f>
        <v>6924553.19</v>
      </c>
      <c r="F55" s="213">
        <f>SUM(F49:F54)</f>
        <v>5509424.8100000005</v>
      </c>
      <c r="G55" s="217">
        <f>SUM(G49:G54)</f>
        <v>1694837.6200000006</v>
      </c>
      <c r="H55" s="215">
        <f>SUM(H49:H54)</f>
        <v>3814587.19</v>
      </c>
    </row>
    <row r="56" spans="1:8" ht="12.75">
      <c r="A56" s="218"/>
      <c r="B56" s="216" t="s">
        <v>251</v>
      </c>
      <c r="C56" s="197"/>
      <c r="D56" s="221"/>
      <c r="E56" s="221"/>
      <c r="F56" s="225"/>
      <c r="G56" s="223"/>
      <c r="H56" s="221"/>
    </row>
    <row r="57" spans="1:8" ht="12.75">
      <c r="A57" s="218" t="s">
        <v>252</v>
      </c>
      <c r="B57" s="219" t="s">
        <v>253</v>
      </c>
      <c r="C57" s="197">
        <v>2008</v>
      </c>
      <c r="D57" s="221">
        <v>1010000</v>
      </c>
      <c r="E57" s="221">
        <v>646412.64</v>
      </c>
      <c r="F57" s="225">
        <f>+D57-E57</f>
        <v>363587.36</v>
      </c>
      <c r="G57" s="223">
        <f>+F57-H57</f>
        <v>271629.93</v>
      </c>
      <c r="H57" s="224">
        <v>91957.43</v>
      </c>
    </row>
    <row r="58" spans="1:8" ht="12.75">
      <c r="A58" s="210"/>
      <c r="B58" s="208"/>
      <c r="C58" s="211"/>
      <c r="D58" s="212">
        <f>SUM(D57)</f>
        <v>1010000</v>
      </c>
      <c r="E58" s="212">
        <f>SUM(E57)</f>
        <v>646412.64</v>
      </c>
      <c r="F58" s="213">
        <f>SUM(F57)</f>
        <v>363587.36</v>
      </c>
      <c r="G58" s="214">
        <f>SUM(G57)</f>
        <v>271629.93</v>
      </c>
      <c r="H58" s="215">
        <f>SUM(H57)</f>
        <v>91957.43</v>
      </c>
    </row>
    <row r="59" spans="1:8" ht="12.75">
      <c r="A59" s="210"/>
      <c r="B59" s="208"/>
      <c r="C59" s="211"/>
      <c r="D59" s="201"/>
      <c r="E59" s="201"/>
      <c r="F59" s="222"/>
      <c r="G59" s="223"/>
      <c r="H59" s="201"/>
    </row>
    <row r="60" spans="1:8" ht="12.75">
      <c r="A60" s="210"/>
      <c r="B60" s="208"/>
      <c r="C60" s="211"/>
      <c r="D60" s="201"/>
      <c r="E60" s="201"/>
      <c r="F60" s="222"/>
      <c r="G60" s="223"/>
      <c r="H60" s="201"/>
    </row>
    <row r="61" spans="1:8" ht="12.75">
      <c r="A61" s="210"/>
      <c r="B61" s="216"/>
      <c r="C61" s="211"/>
      <c r="D61" s="201"/>
      <c r="E61" s="201"/>
      <c r="F61" s="222"/>
      <c r="G61" s="223"/>
      <c r="H61" s="201"/>
    </row>
    <row r="62" spans="1:8" ht="12.75">
      <c r="A62" s="210"/>
      <c r="B62" s="208"/>
      <c r="C62" s="197"/>
      <c r="D62" s="201"/>
      <c r="E62" s="201"/>
      <c r="F62" s="222"/>
      <c r="G62" s="223"/>
      <c r="H62" s="201"/>
    </row>
    <row r="63" spans="1:8" ht="12.75">
      <c r="A63" s="202"/>
      <c r="B63" s="203"/>
      <c r="C63" s="197"/>
      <c r="D63" s="198"/>
      <c r="E63" s="207"/>
      <c r="F63" s="222"/>
      <c r="G63" s="223"/>
      <c r="H63" s="201"/>
    </row>
    <row r="64" spans="1:8" ht="12.75">
      <c r="A64" s="202"/>
      <c r="B64" s="203"/>
      <c r="C64" s="197"/>
      <c r="D64" s="198"/>
      <c r="E64" s="207"/>
      <c r="F64" s="222"/>
      <c r="G64" s="223"/>
      <c r="H64" s="201"/>
    </row>
    <row r="65" spans="1:8" ht="12.75">
      <c r="A65" s="210"/>
      <c r="B65" s="208"/>
      <c r="C65" s="197"/>
      <c r="D65" s="201"/>
      <c r="E65" s="209"/>
      <c r="F65" s="222"/>
      <c r="G65" s="223"/>
      <c r="H65" s="201"/>
    </row>
    <row r="66" spans="1:8" ht="12.75">
      <c r="A66" s="210"/>
      <c r="B66" s="208"/>
      <c r="C66" s="197"/>
      <c r="D66" s="201"/>
      <c r="E66" s="209"/>
      <c r="F66" s="222"/>
      <c r="G66" s="223"/>
      <c r="H66" s="201"/>
    </row>
    <row r="67" spans="1:8" ht="12.75">
      <c r="A67" s="202"/>
      <c r="B67" s="203"/>
      <c r="C67" s="197"/>
      <c r="D67" s="198"/>
      <c r="E67" s="233"/>
      <c r="F67" s="222"/>
      <c r="G67" s="223"/>
      <c r="H67" s="201"/>
    </row>
    <row r="68" spans="1:8" ht="12.75">
      <c r="A68" s="195"/>
      <c r="B68" s="206"/>
      <c r="C68" s="197"/>
      <c r="D68" s="198"/>
      <c r="E68" s="233"/>
      <c r="F68" s="222"/>
      <c r="G68" s="223"/>
      <c r="H68" s="201"/>
    </row>
    <row r="69" spans="1:8" ht="12.75">
      <c r="A69" s="202"/>
      <c r="B69" s="203"/>
      <c r="C69" s="197"/>
      <c r="D69" s="198"/>
      <c r="E69" s="233"/>
      <c r="F69" s="222"/>
      <c r="G69" s="223"/>
      <c r="H69" s="231"/>
    </row>
    <row r="70" spans="1:8" ht="12.75">
      <c r="A70" s="202"/>
      <c r="B70" s="203"/>
      <c r="C70" s="197"/>
      <c r="D70" s="198"/>
      <c r="E70" s="233"/>
      <c r="F70" s="222"/>
      <c r="G70" s="223"/>
      <c r="H70" s="231"/>
    </row>
    <row r="71" spans="1:8" ht="12.75">
      <c r="A71" s="195"/>
      <c r="B71" s="206"/>
      <c r="C71" s="211"/>
      <c r="D71" s="234"/>
      <c r="E71" s="235"/>
      <c r="F71" s="236"/>
      <c r="G71" s="237"/>
      <c r="H71" s="215"/>
    </row>
    <row r="72" spans="1:8" ht="12.75">
      <c r="A72" s="195"/>
      <c r="B72" s="206"/>
      <c r="C72" s="211"/>
      <c r="D72" s="234"/>
      <c r="E72" s="235"/>
      <c r="F72" s="236"/>
      <c r="G72" s="238"/>
      <c r="H72" s="215"/>
    </row>
    <row r="73" spans="1:8" ht="12.75">
      <c r="A73" s="195"/>
      <c r="B73" s="206"/>
      <c r="C73" s="211"/>
      <c r="D73" s="198"/>
      <c r="E73" s="233"/>
      <c r="F73" s="239"/>
      <c r="G73" s="200"/>
      <c r="H73" s="201"/>
    </row>
    <row r="74" spans="1:8" ht="12.75">
      <c r="A74" s="210"/>
      <c r="B74" s="206"/>
      <c r="C74" s="211"/>
      <c r="D74" s="201"/>
      <c r="E74" s="201"/>
      <c r="F74" s="222"/>
      <c r="G74" s="223"/>
      <c r="H74" s="201"/>
    </row>
    <row r="75" spans="1:8" ht="15.75">
      <c r="A75" s="240"/>
      <c r="B75" s="216"/>
      <c r="C75" s="241"/>
      <c r="D75" s="242">
        <f>SUM(D17+D21+D25+D29+D33+D39+D42+D47+D55+D58)</f>
        <v>52465086</v>
      </c>
      <c r="E75" s="242">
        <f>SUM(E17+E21+E25+E29+E33+E39+E42+E47+E55+E58)</f>
        <v>13894390.5</v>
      </c>
      <c r="F75" s="243">
        <f>+F17+F21+F25+F29+F33+F39+F42+F47+F55+F58</f>
        <v>38568095.62</v>
      </c>
      <c r="G75" s="244">
        <f>+G17+G21+G25+G29+G33+G39+G42+G47+G55+G58</f>
        <v>10042196.999999998</v>
      </c>
      <c r="H75" s="242">
        <f>SUM(H17+H21+H25+H29+H33+H39+H42+H47+H55+H58)</f>
        <v>28525898.619999997</v>
      </c>
    </row>
    <row r="76" spans="1:8" ht="12.75">
      <c r="A76" s="186"/>
      <c r="B76" s="190"/>
      <c r="C76" s="186"/>
      <c r="D76" s="190"/>
      <c r="E76" s="190"/>
      <c r="F76" s="190"/>
      <c r="G76" s="192"/>
      <c r="H76" s="190"/>
    </row>
    <row r="77" spans="1:8" ht="12.75">
      <c r="A77" s="186"/>
      <c r="B77" s="190"/>
      <c r="C77" s="186"/>
      <c r="D77" s="190"/>
      <c r="E77" s="190"/>
      <c r="F77" s="186"/>
      <c r="G77" s="192"/>
      <c r="H77" s="245">
        <f>SUM(G75:H75)</f>
        <v>38568095.62</v>
      </c>
    </row>
    <row r="78" spans="1:8" ht="12.75">
      <c r="A78" s="186"/>
      <c r="B78" s="190"/>
      <c r="C78" s="186"/>
      <c r="D78" s="190"/>
      <c r="E78" s="190"/>
      <c r="F78" s="186"/>
      <c r="G78" s="192"/>
      <c r="H78" s="190"/>
    </row>
    <row r="79" spans="1:8" ht="12.75">
      <c r="A79" s="186"/>
      <c r="B79" s="246"/>
      <c r="C79" s="247"/>
      <c r="D79" s="248"/>
      <c r="E79" s="190"/>
      <c r="F79" s="249" t="s">
        <v>8</v>
      </c>
      <c r="G79" s="192"/>
      <c r="H79" s="190"/>
    </row>
    <row r="80" spans="1:8" ht="12.75">
      <c r="A80" s="186"/>
      <c r="B80" s="190"/>
      <c r="C80" s="186"/>
      <c r="D80" s="250"/>
      <c r="E80" s="190"/>
      <c r="F80" s="186"/>
      <c r="G80" s="192"/>
      <c r="H80" s="190"/>
    </row>
    <row r="81" spans="1:8" ht="12.75">
      <c r="A81" s="186"/>
      <c r="B81" s="251"/>
      <c r="C81" s="186"/>
      <c r="D81" s="250"/>
      <c r="E81" s="250"/>
      <c r="F81" s="252"/>
      <c r="G81" s="192"/>
      <c r="H81" s="190"/>
    </row>
    <row r="82" spans="1:8" ht="12.75">
      <c r="A82" s="186"/>
      <c r="B82" s="251"/>
      <c r="C82" s="186"/>
      <c r="D82" s="250"/>
      <c r="E82" s="250"/>
      <c r="F82" s="252"/>
      <c r="G82" s="192"/>
      <c r="H82" s="190"/>
    </row>
    <row r="83" spans="1:8" ht="12.75">
      <c r="A83" s="186"/>
      <c r="B83" s="251"/>
      <c r="C83" s="186"/>
      <c r="D83" s="250"/>
      <c r="E83" s="250"/>
      <c r="F83" s="252"/>
      <c r="G83" s="192"/>
      <c r="H83" s="190"/>
    </row>
    <row r="84" spans="1:8" ht="12.75">
      <c r="A84" s="186"/>
      <c r="B84" s="251"/>
      <c r="C84" s="186"/>
      <c r="D84" s="250"/>
      <c r="E84" s="250"/>
      <c r="F84" s="252"/>
      <c r="G84" s="192"/>
      <c r="H84" s="190"/>
    </row>
    <row r="85" spans="1:8" ht="12.75">
      <c r="A85" s="186"/>
      <c r="B85" s="251"/>
      <c r="C85" s="186"/>
      <c r="D85" s="250"/>
      <c r="E85" s="250"/>
      <c r="F85" s="252"/>
      <c r="G85" s="192"/>
      <c r="H85" s="190"/>
    </row>
    <row r="86" spans="1:8" ht="12.75">
      <c r="A86" s="186"/>
      <c r="B86" s="253"/>
      <c r="C86" s="186"/>
      <c r="D86" s="250"/>
      <c r="E86" s="250"/>
      <c r="F86" s="252"/>
      <c r="G86" s="192"/>
      <c r="H86" s="190"/>
    </row>
    <row r="87" spans="1:8" ht="12.75">
      <c r="A87" s="186"/>
      <c r="B87" s="190"/>
      <c r="C87" s="186"/>
      <c r="D87" s="250"/>
      <c r="E87" s="190"/>
      <c r="F87" s="186"/>
      <c r="G87" s="192"/>
      <c r="H87" s="190"/>
    </row>
    <row r="88" spans="1:8" ht="15.75">
      <c r="A88" s="186"/>
      <c r="B88" s="254"/>
      <c r="C88" s="186"/>
      <c r="D88" s="250"/>
      <c r="E88" s="190"/>
      <c r="F88" s="186"/>
      <c r="G88" s="192"/>
      <c r="H88" s="190"/>
    </row>
    <row r="89" spans="1:8" ht="12.75">
      <c r="A89" s="186"/>
      <c r="B89" s="190"/>
      <c r="C89" s="186"/>
      <c r="D89" s="250"/>
      <c r="E89" s="190"/>
      <c r="F89" s="186"/>
      <c r="G89" s="192"/>
      <c r="H89" s="190"/>
    </row>
    <row r="90" spans="1:8" ht="12.75">
      <c r="A90" s="186"/>
      <c r="B90" s="190"/>
      <c r="C90" s="186"/>
      <c r="D90" s="190"/>
      <c r="E90" s="190"/>
      <c r="F90" s="186"/>
      <c r="G90" s="192"/>
      <c r="H90" s="19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Linah</dc:creator>
  <cp:keywords/>
  <dc:description/>
  <cp:lastModifiedBy>ndejager</cp:lastModifiedBy>
  <cp:lastPrinted>2009-01-15T12:39:57Z</cp:lastPrinted>
  <dcterms:created xsi:type="dcterms:W3CDTF">2004-08-24T08:49:04Z</dcterms:created>
  <dcterms:modified xsi:type="dcterms:W3CDTF">2009-01-15T12:40:04Z</dcterms:modified>
  <cp:category/>
  <cp:version/>
  <cp:contentType/>
  <cp:contentStatus/>
  <cp:revision>1</cp:revision>
</cp:coreProperties>
</file>